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<sst xmlns="http://schemas.openxmlformats.org/spreadsheetml/2006/main" count="449" uniqueCount="186">
  <si>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</si>
  <si>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</si>
  <si>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</si>
  <si>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</si>
  <si>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</si>
  <si>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</si>
  <si>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</si>
  <si>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</si>
  <si>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</si>
  <si>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</si>
  <si>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</si>
  <si>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</si>
  <si>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</si>
  <si>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</si>
  <si>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</si>
  <si>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</si>
  <si>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</si>
  <si>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</si>
  <si>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</si>
  <si>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</si>
  <si>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</si>
  <si>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</si>
  <si>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</si>
  <si>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</si>
  <si>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</si>
  <si>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</si>
  <si>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</si>
  <si>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</si>
  <si>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</si>
  <si>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</si>
  <si>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</si>
  <si>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</si>
  <si>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</si>
  <si>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</si>
  <si>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</si>
  <si>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</si>
  <si>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</si>
  <si>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</si>
  <si>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</si>
  <si>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</si>
  <si>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</si>
  <si>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</si>
  <si>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</si>
  <si>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</si>
  <si>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</si>
  <si>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</si>
  <si>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</si>
  <si>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</si>
  <si>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</si>
  <si>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</si>
  <si>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</si>
  <si>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</si>
  <si>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</si>
  <si>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</si>
  <si>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</si>
  <si>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</si>
  <si>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>311./04</t>
  </si>
  <si>
    <t xml:space="preserve">Ю.В. Прокофьева </t>
  </si>
  <si>
    <t>Зам. директора по произ-ву</t>
  </si>
  <si>
    <t>Р.И. Самигулова</t>
  </si>
  <si>
    <t xml:space="preserve">Генеральный директор                                                                                                                     </t>
  </si>
  <si>
    <t>Десерт фруктовый "Яблоко"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</si>
  <si>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</si>
  <si>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</si>
  <si>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</si>
  <si>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</si>
  <si>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</si>
  <si>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</si>
  <si>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</si>
  <si>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</si>
  <si>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</si>
  <si>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</si>
  <si>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</si>
  <si>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</si>
  <si>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</si>
  <si>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</si>
  <si>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</si>
  <si>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</si>
  <si>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</si>
  <si>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</si>
  <si>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</si>
  <si>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Каша молочная манная (жидкая) с маслом</t>
  </si>
  <si>
    <t>130</t>
  </si>
  <si>
    <t>1/46,4</t>
  </si>
  <si>
    <t>1/40,6</t>
  </si>
  <si>
    <t>161./04</t>
  </si>
  <si>
    <t xml:space="preserve">Зам. начальника производственного отдела </t>
  </si>
  <si>
    <t>ТТК-653</t>
  </si>
  <si>
    <t xml:space="preserve">Зразы мясные "Любимые" с сыром </t>
  </si>
  <si>
    <t>135/04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</si>
  <si>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</si>
  <si>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</si>
  <si>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</si>
  <si>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</si>
  <si>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541/04</t>
  </si>
  <si>
    <t xml:space="preserve">Рагу овощное </t>
  </si>
  <si>
    <t>294/96</t>
  </si>
  <si>
    <t>150/30</t>
  </si>
  <si>
    <t>200/3</t>
  </si>
  <si>
    <t>150/3</t>
  </si>
  <si>
    <t>ТТК-400</t>
  </si>
  <si>
    <t>Капуста тушеная с мясом</t>
  </si>
  <si>
    <t>Каша гречневая вязкая</t>
  </si>
  <si>
    <t>ТТК-814</t>
  </si>
  <si>
    <t>Булочка "Домашняя"</t>
  </si>
  <si>
    <t>30</t>
  </si>
  <si>
    <t>100</t>
  </si>
  <si>
    <t>Суп молочный с пшеном</t>
  </si>
  <si>
    <t>Напиток "Фруктовый" из сухофруктов</t>
  </si>
  <si>
    <t>612/04</t>
  </si>
  <si>
    <t xml:space="preserve">Маринад овощной </t>
  </si>
  <si>
    <t>200/10</t>
  </si>
  <si>
    <t>150/10</t>
  </si>
  <si>
    <t>ТТК-730</t>
  </si>
  <si>
    <r>
      <t xml:space="preserve">Фрикад. рыбные "Капелька" с соус. томатн </t>
    </r>
    <r>
      <rPr>
        <b/>
        <sz val="10"/>
        <rFont val="Times New Roman"/>
        <family val="1"/>
      </rPr>
      <t xml:space="preserve"> </t>
    </r>
  </si>
  <si>
    <t>50/30</t>
  </si>
  <si>
    <t>50</t>
  </si>
  <si>
    <t>Батон с маслом с сыром</t>
  </si>
  <si>
    <t>20/5/5</t>
  </si>
  <si>
    <t>520./04</t>
  </si>
  <si>
    <t>Картофельное пюре</t>
  </si>
  <si>
    <t>ТТК-317</t>
  </si>
  <si>
    <t>ТТК-446</t>
  </si>
  <si>
    <t>Пюре "Янтарное"</t>
  </si>
  <si>
    <t>124/04</t>
  </si>
  <si>
    <t>ТТК-315</t>
  </si>
  <si>
    <t xml:space="preserve">Компот "Фруктовый" из чернослива </t>
  </si>
  <si>
    <t>Компот "Фруктовый" из кураги</t>
  </si>
  <si>
    <t>ТТК-147</t>
  </si>
  <si>
    <t>Компот из черной смородины</t>
  </si>
  <si>
    <t>Фатхуллина Г.А.</t>
  </si>
  <si>
    <t xml:space="preserve">Каша ячневая  вязкая </t>
  </si>
  <si>
    <t>14 группа: сады № 10, 17, 20, 26, 49, 64, 72, 73, 75, 92, 96, 105, 120</t>
  </si>
  <si>
    <t>Н.В. Журавлева</t>
  </si>
  <si>
    <t>ТТК-424</t>
  </si>
  <si>
    <t>ТТК-62</t>
  </si>
  <si>
    <t>Салат из отварной свеклы</t>
  </si>
  <si>
    <t>170</t>
  </si>
  <si>
    <t>148./04</t>
  </si>
  <si>
    <t xml:space="preserve">Суп -лапша по-домашнему с мясными фрикадельками </t>
  </si>
  <si>
    <t>Суп молочный с рисом</t>
  </si>
  <si>
    <t>Каша молочная пшеничная (жидкая) с маслом</t>
  </si>
  <si>
    <t>Молоко кипяченое с печеньем "Супер Ю"</t>
  </si>
  <si>
    <t>Десерт фруктовый "Апельсин"</t>
  </si>
  <si>
    <t>160</t>
  </si>
  <si>
    <t>ТТК-650</t>
  </si>
  <si>
    <t xml:space="preserve">Котлеты "Челнинские" </t>
  </si>
  <si>
    <t>Сырники из творога с соусом сметанным "Сластена"</t>
  </si>
  <si>
    <t>362./04</t>
  </si>
  <si>
    <t>Пудинг из творога с соусом сметанным "Сластена"</t>
  </si>
  <si>
    <t>135</t>
  </si>
  <si>
    <t>138/04</t>
  </si>
  <si>
    <t>180/17</t>
  </si>
  <si>
    <t xml:space="preserve">Суп из овощей  со сметаной </t>
  </si>
  <si>
    <t>152</t>
  </si>
  <si>
    <t xml:space="preserve">НЕДЕЛЬНОЕ МЕНЮ ДЛЯ ОБЩЕРАЗВИВАЮЩИХ ДЕТСКИХ САДОВ С 12.03.18г по 16.03.18г    </t>
  </si>
  <si>
    <t>ПОНЕДЕЛЬНИК  12.03</t>
  </si>
  <si>
    <t>ВТОРНИК 13.03</t>
  </si>
  <si>
    <t>СРЕДА 14.03</t>
  </si>
  <si>
    <t>ЧЕТВЕРГ 15.03</t>
  </si>
  <si>
    <t>ПЯТНИЦА 16.03</t>
  </si>
  <si>
    <t>ТТК-129</t>
  </si>
  <si>
    <t>Салат "Здоровье"</t>
  </si>
  <si>
    <t>45</t>
  </si>
  <si>
    <t>ТТК-417</t>
  </si>
  <si>
    <r>
      <t xml:space="preserve">Плов "Золотой петушок" </t>
    </r>
    <r>
      <rPr>
        <b/>
        <sz val="10"/>
        <rFont val="Times New Roman"/>
        <family val="1"/>
      </rPr>
      <t xml:space="preserve">  </t>
    </r>
  </si>
  <si>
    <t>50/100</t>
  </si>
  <si>
    <t>390./04</t>
  </si>
  <si>
    <t>Котлеты рыбные "Любительские"</t>
  </si>
  <si>
    <t>ТТК-738</t>
  </si>
  <si>
    <t xml:space="preserve">Котлеты "Крестьянские" </t>
  </si>
  <si>
    <t>45./04</t>
  </si>
  <si>
    <t>Салат из квашеной капусты   (без лука)</t>
  </si>
  <si>
    <t>54</t>
  </si>
  <si>
    <t>40</t>
  </si>
  <si>
    <t>133./04</t>
  </si>
  <si>
    <t xml:space="preserve">Суп картофельный с рыбными консервами </t>
  </si>
  <si>
    <t>Батон  с сыром</t>
  </si>
  <si>
    <t>Салат "Розовые щечки" (без лука)</t>
  </si>
  <si>
    <t>55</t>
  </si>
  <si>
    <t>41</t>
  </si>
  <si>
    <t xml:space="preserve">Щи из свежей капусты с карт. на мясокостн бульоне со смет. </t>
  </si>
  <si>
    <t xml:space="preserve">Суп картоф. с перлов. крупой </t>
  </si>
  <si>
    <t>216./04</t>
  </si>
  <si>
    <t>Картофель тушеный</t>
  </si>
  <si>
    <t>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</si>
</sst>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49" fontId="0" fillId="0" borderId="11" xfId="0" applyNumberForma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36" borderId="1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distributed"/>
    </xf>
    <xf numFmtId="49" fontId="9" fillId="36" borderId="12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2" fontId="10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14" fontId="9" fillId="36" borderId="1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0" fillId="35" borderId="12" xfId="53" applyNumberFormat="1" applyFont="1" applyFill="1" applyBorder="1" applyAlignment="1">
      <alignment horizontal="center" vertical="center"/>
      <protection/>
    </xf>
    <xf numFmtId="2" fontId="10" fillId="35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10" fillId="0" borderId="13" xfId="54" applyNumberFormat="1" applyFont="1" applyFill="1" applyBorder="1" applyAlignment="1">
      <alignment horizontal="center" vertical="center"/>
      <protection/>
    </xf>
    <xf numFmtId="2" fontId="10" fillId="0" borderId="23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170</xdr:row>
      <xdr:rowOff>47625</xdr:rowOff>
    </xdr:from>
    <xdr:to>
      <xdr:col>8</xdr:col>
      <xdr:colOff>142875</xdr:colOff>
      <xdr:row>178</xdr:row>
      <xdr:rowOff>114300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4956750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173</xdr:row>
      <xdr:rowOff>180975</xdr:rowOff>
    </xdr:from>
    <xdr:to>
      <xdr:col>6</xdr:col>
      <xdr:colOff>428625</xdr:colOff>
      <xdr:row>175</xdr:row>
      <xdr:rowOff>142875</xdr:rowOff>
    </xdr:to>
    <xdr:pic>
      <xdr:nvPicPr>
        <xdr:cNvPr id="2" name="Picture 436"/>
        <xdr:cNvPicPr preferRelativeResize="1">
          <a:picLocks noChangeAspect="1"/>
        </xdr:cNvPicPr>
      </xdr:nvPicPr>
      <xdr:blipFill>
        <a:blip r:embed="rId2"/>
        <a:srcRect t="45860" b="31210"/>
        <a:stretch>
          <a:fillRect/>
        </a:stretch>
      </xdr:blipFill>
      <xdr:spPr>
        <a:xfrm>
          <a:off x="3876675" y="3566160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</xdr:row>
      <xdr:rowOff>9525</xdr:rowOff>
    </xdr:from>
    <xdr:to>
      <xdr:col>13</xdr:col>
      <xdr:colOff>476250</xdr:colOff>
      <xdr:row>4</xdr:row>
      <xdr:rowOff>66675</xdr:rowOff>
    </xdr:to>
    <xdr:pic>
      <xdr:nvPicPr>
        <xdr:cNvPr id="3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810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9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73</v>
      </c>
      <c r="N1" s="3"/>
      <c r="O1" s="49"/>
      <c r="P1" s="2"/>
      <c r="Q1"/>
      <c r="R1" s="3"/>
      <c r="S1" s="3"/>
      <c r="T1" s="3"/>
      <c r="U1" s="49"/>
      <c r="V1" s="2"/>
      <c r="W1" s="3"/>
      <c r="X1" s="80"/>
      <c r="Y1" s="80"/>
      <c r="Z1" s="80"/>
      <c r="AA1" s="80"/>
      <c r="AB1" s="80"/>
      <c r="AC1" s="80"/>
    </row>
    <row r="2" spans="1:29" s="16" customFormat="1" ht="15" customHeight="1">
      <c r="A2" s="107" t="s">
        <v>64</v>
      </c>
      <c r="B2" s="18"/>
      <c r="C2" s="18"/>
      <c r="D2" s="18"/>
      <c r="E2" s="19"/>
      <c r="F2" s="19"/>
      <c r="G2" s="18"/>
      <c r="H2" s="3"/>
      <c r="I2" s="3"/>
      <c r="J2" s="49"/>
      <c r="K2" s="2"/>
      <c r="L2" s="3"/>
      <c r="M2" s="3" t="s">
        <v>74</v>
      </c>
      <c r="N2" s="3"/>
      <c r="O2" s="49"/>
      <c r="P2" s="3"/>
      <c r="Q2"/>
      <c r="R2" s="3"/>
      <c r="S2" s="3"/>
      <c r="T2" s="3"/>
      <c r="U2" s="49"/>
      <c r="V2" s="3"/>
      <c r="W2" s="3"/>
      <c r="X2" s="80"/>
      <c r="Y2" s="80"/>
      <c r="Z2" s="80"/>
      <c r="AA2" s="80"/>
      <c r="AB2" s="80"/>
      <c r="AC2" s="80"/>
    </row>
    <row r="3" spans="1:29" s="16" customFormat="1" ht="15" customHeight="1">
      <c r="A3" s="107" t="s">
        <v>76</v>
      </c>
      <c r="B3" s="18"/>
      <c r="C3" s="18"/>
      <c r="D3" s="18"/>
      <c r="E3" s="19"/>
      <c r="F3" s="19"/>
      <c r="G3" s="18"/>
      <c r="H3" s="3"/>
      <c r="I3" s="3"/>
      <c r="J3" s="49"/>
      <c r="K3" s="3"/>
      <c r="L3" s="3"/>
      <c r="M3" s="4" t="s">
        <v>75</v>
      </c>
      <c r="N3" s="3"/>
      <c r="O3" s="49"/>
      <c r="P3" s="2"/>
      <c r="Q3"/>
      <c r="R3" s="4"/>
      <c r="S3" s="3"/>
      <c r="T3" s="3"/>
      <c r="U3" s="49"/>
      <c r="V3" s="2"/>
      <c r="W3" s="3"/>
      <c r="X3" s="80"/>
      <c r="Y3" s="80"/>
      <c r="Z3" s="80"/>
      <c r="AA3" s="80"/>
      <c r="AB3" s="80"/>
      <c r="AC3" s="80"/>
    </row>
    <row r="4" spans="1:29" s="16" customFormat="1" ht="15" customHeight="1">
      <c r="A4" s="107" t="s">
        <v>132</v>
      </c>
      <c r="B4" s="18"/>
      <c r="C4" s="18"/>
      <c r="D4" s="18"/>
      <c r="E4" s="19"/>
      <c r="F4" s="19"/>
      <c r="G4" s="18"/>
      <c r="H4" s="4"/>
      <c r="I4" s="3"/>
      <c r="J4" s="49"/>
      <c r="K4" s="2"/>
      <c r="L4" s="3"/>
      <c r="M4" s="163"/>
      <c r="N4" s="163"/>
      <c r="O4" s="3"/>
      <c r="P4" s="3"/>
      <c r="Q4"/>
      <c r="R4" s="3"/>
      <c r="S4" s="3" t="s">
        <v>130</v>
      </c>
      <c r="T4" s="3"/>
      <c r="U4" s="49"/>
      <c r="V4" s="2"/>
      <c r="W4" s="3"/>
      <c r="X4" s="80"/>
      <c r="Y4" s="80"/>
      <c r="Z4" s="80"/>
      <c r="AA4" s="80"/>
      <c r="AB4" s="80"/>
      <c r="AC4" s="80"/>
    </row>
    <row r="5" spans="1:22" s="16" customFormat="1" ht="15" customHeight="1">
      <c r="A5" s="107" t="s">
        <v>78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80"/>
      <c r="P5" s="80"/>
      <c r="Q5" s="80"/>
      <c r="R5" s="80"/>
      <c r="S5" s="80"/>
      <c r="T5" s="80"/>
      <c r="U5" s="3"/>
      <c r="V5" s="3"/>
    </row>
    <row r="6" spans="1:17" s="16" customFormat="1" ht="15" customHeight="1">
      <c r="A6" s="107" t="s">
        <v>77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9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9"/>
      <c r="I7" s="89"/>
      <c r="J7" s="89"/>
      <c r="K7" s="89"/>
      <c r="L7" s="89"/>
      <c r="M7" s="89" t="s">
        <v>43</v>
      </c>
      <c r="N7" s="89"/>
      <c r="Q7" s="89"/>
    </row>
    <row r="8" spans="1:24" s="90" customFormat="1" ht="15" customHeight="1">
      <c r="A8" s="171" t="s">
        <v>155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72" t="s">
        <v>24</v>
      </c>
      <c r="B10" s="174" t="s">
        <v>34</v>
      </c>
      <c r="C10" s="170" t="s">
        <v>35</v>
      </c>
      <c r="D10" s="170"/>
      <c r="E10" s="175" t="s">
        <v>0</v>
      </c>
      <c r="F10" s="175"/>
      <c r="G10" s="175" t="s">
        <v>36</v>
      </c>
      <c r="H10" s="175"/>
      <c r="I10" s="175"/>
      <c r="J10" s="175"/>
      <c r="K10" s="175"/>
      <c r="L10" s="175"/>
      <c r="M10" s="170" t="s">
        <v>37</v>
      </c>
      <c r="N10" s="170"/>
      <c r="O10" s="164" t="s">
        <v>38</v>
      </c>
      <c r="P10" s="164"/>
      <c r="Q10" s="164"/>
      <c r="R10" s="164"/>
      <c r="S10" s="164"/>
      <c r="T10" s="164"/>
      <c r="U10" s="176" t="s">
        <v>39</v>
      </c>
      <c r="V10" s="176"/>
      <c r="W10" s="176"/>
      <c r="X10" s="176"/>
      <c r="Z10" s="57"/>
      <c r="AA10" s="57"/>
      <c r="AB10" s="57"/>
      <c r="AC10" s="57"/>
      <c r="AD10" s="57"/>
      <c r="AE10" s="57"/>
    </row>
    <row r="11" spans="1:31" s="16" customFormat="1" ht="15" customHeight="1">
      <c r="A11" s="173"/>
      <c r="B11" s="174"/>
      <c r="C11" s="170"/>
      <c r="D11" s="170"/>
      <c r="E11" s="175"/>
      <c r="F11" s="175"/>
      <c r="G11" s="169" t="s">
        <v>1</v>
      </c>
      <c r="H11" s="169"/>
      <c r="I11" s="169" t="s">
        <v>2</v>
      </c>
      <c r="J11" s="169"/>
      <c r="K11" s="169" t="s">
        <v>3</v>
      </c>
      <c r="L11" s="169"/>
      <c r="M11" s="170"/>
      <c r="N11" s="170"/>
      <c r="O11" s="165" t="s">
        <v>72</v>
      </c>
      <c r="P11" s="165"/>
      <c r="Q11" s="165" t="s">
        <v>47</v>
      </c>
      <c r="R11" s="165"/>
      <c r="S11" s="165" t="s">
        <v>40</v>
      </c>
      <c r="T11" s="165"/>
      <c r="U11" s="165" t="s">
        <v>41</v>
      </c>
      <c r="V11" s="165"/>
      <c r="W11" s="165" t="s">
        <v>42</v>
      </c>
      <c r="X11" s="165"/>
      <c r="Z11" s="57"/>
      <c r="AA11" s="57"/>
      <c r="AB11" s="57"/>
      <c r="AC11" s="57"/>
      <c r="AD11" s="57"/>
      <c r="AE11" s="57"/>
    </row>
    <row r="12" spans="1:31" s="16" customFormat="1" ht="15" customHeight="1">
      <c r="A12" s="21" t="s">
        <v>24</v>
      </c>
      <c r="B12" s="92" t="s">
        <v>156</v>
      </c>
      <c r="C12" s="91" t="s">
        <v>21</v>
      </c>
      <c r="D12" s="91" t="s">
        <v>22</v>
      </c>
      <c r="E12" s="91" t="s">
        <v>21</v>
      </c>
      <c r="F12" s="91" t="s">
        <v>22</v>
      </c>
      <c r="G12" s="91" t="s">
        <v>21</v>
      </c>
      <c r="H12" s="91" t="s">
        <v>22</v>
      </c>
      <c r="I12" s="91" t="s">
        <v>21</v>
      </c>
      <c r="J12" s="91" t="s">
        <v>22</v>
      </c>
      <c r="K12" s="91" t="s">
        <v>21</v>
      </c>
      <c r="L12" s="91" t="s">
        <v>22</v>
      </c>
      <c r="M12" s="91" t="s">
        <v>21</v>
      </c>
      <c r="N12" s="91" t="s">
        <v>22</v>
      </c>
      <c r="O12" s="91" t="s">
        <v>21</v>
      </c>
      <c r="P12" s="91" t="s">
        <v>22</v>
      </c>
      <c r="Q12" s="91" t="s">
        <v>21</v>
      </c>
      <c r="R12" s="91" t="s">
        <v>22</v>
      </c>
      <c r="S12" s="91" t="s">
        <v>21</v>
      </c>
      <c r="T12" s="91" t="s">
        <v>22</v>
      </c>
      <c r="U12" s="91" t="s">
        <v>21</v>
      </c>
      <c r="V12" s="91" t="s">
        <v>22</v>
      </c>
      <c r="W12" s="91" t="s">
        <v>21</v>
      </c>
      <c r="X12" s="91" t="s">
        <v>22</v>
      </c>
      <c r="Z12" s="57"/>
      <c r="AA12" s="57"/>
      <c r="AB12" s="57"/>
      <c r="AC12" s="57"/>
      <c r="AD12" s="57"/>
      <c r="AE12" s="57"/>
    </row>
    <row r="13" spans="1:31" ht="15" customHeight="1">
      <c r="A13" s="22"/>
      <c r="B13" s="93" t="s">
        <v>4</v>
      </c>
      <c r="C13" s="94"/>
      <c r="D13" s="9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/>
      <c r="Q13" s="53"/>
      <c r="R13" s="53"/>
      <c r="S13" s="53"/>
      <c r="T13" s="53"/>
      <c r="U13" s="53"/>
      <c r="V13" s="53"/>
      <c r="W13" s="53"/>
      <c r="X13" s="53"/>
      <c r="Z13" s="54"/>
      <c r="AA13" s="54"/>
      <c r="AB13" s="54"/>
      <c r="AC13" s="54"/>
      <c r="AD13" s="54"/>
      <c r="AE13" s="54"/>
    </row>
    <row r="14" spans="1:30" s="1" customFormat="1" ht="14.25" customHeight="1">
      <c r="A14" s="135" t="s">
        <v>69</v>
      </c>
      <c r="B14" s="23" t="s">
        <v>117</v>
      </c>
      <c r="C14" s="44" t="s">
        <v>118</v>
      </c>
      <c r="D14" s="44" t="s">
        <v>118</v>
      </c>
      <c r="E14" s="28">
        <v>6.88</v>
      </c>
      <c r="F14" s="28">
        <v>6.88</v>
      </c>
      <c r="G14" s="28">
        <v>2.93</v>
      </c>
      <c r="H14" s="29">
        <v>2.93</v>
      </c>
      <c r="I14" s="28">
        <v>6.05</v>
      </c>
      <c r="J14" s="29">
        <v>6.05</v>
      </c>
      <c r="K14" s="28">
        <v>10.4</v>
      </c>
      <c r="L14" s="29">
        <v>10.4</v>
      </c>
      <c r="M14" s="28">
        <v>107.77</v>
      </c>
      <c r="N14" s="29">
        <v>107.77</v>
      </c>
      <c r="O14" s="29">
        <v>0.08</v>
      </c>
      <c r="P14" s="29">
        <f>O14*40/60</f>
        <v>0.05333333333333334</v>
      </c>
      <c r="Q14" s="29">
        <v>0.06</v>
      </c>
      <c r="R14" s="29">
        <f>Q14*40/60</f>
        <v>0.04</v>
      </c>
      <c r="S14" s="28">
        <v>0.14</v>
      </c>
      <c r="T14" s="29">
        <v>0.14</v>
      </c>
      <c r="U14" s="29">
        <v>70.8</v>
      </c>
      <c r="V14" s="29">
        <f>U14*40/60</f>
        <v>47.2</v>
      </c>
      <c r="W14" s="29">
        <v>0.81</v>
      </c>
      <c r="X14" s="75">
        <f>W14*40/60</f>
        <v>0.5400000000000001</v>
      </c>
      <c r="Y14" s="60"/>
      <c r="Z14" s="58"/>
      <c r="AA14" s="58"/>
      <c r="AB14" s="58"/>
      <c r="AC14" s="58"/>
      <c r="AD14" s="58"/>
    </row>
    <row r="15" spans="1:33" s="8" customFormat="1" ht="15" customHeight="1">
      <c r="A15" s="136" t="s">
        <v>28</v>
      </c>
      <c r="B15" s="68" t="s">
        <v>131</v>
      </c>
      <c r="C15" s="110">
        <v>200</v>
      </c>
      <c r="D15" s="110">
        <v>150</v>
      </c>
      <c r="E15" s="62">
        <v>4.43</v>
      </c>
      <c r="F15" s="62">
        <v>3.32</v>
      </c>
      <c r="G15" s="62">
        <v>4.2</v>
      </c>
      <c r="H15" s="63">
        <v>3.15</v>
      </c>
      <c r="I15" s="62">
        <v>8</v>
      </c>
      <c r="J15" s="63">
        <v>6</v>
      </c>
      <c r="K15" s="62">
        <v>28.4</v>
      </c>
      <c r="L15" s="63">
        <f>K15*150/200</f>
        <v>21.3</v>
      </c>
      <c r="M15" s="62">
        <v>202.4</v>
      </c>
      <c r="N15" s="63">
        <v>151.8</v>
      </c>
      <c r="O15" s="67">
        <v>0.03</v>
      </c>
      <c r="P15" s="63">
        <f>O15*125/150</f>
        <v>0.025</v>
      </c>
      <c r="Q15" s="67">
        <v>0.02</v>
      </c>
      <c r="R15" s="63">
        <f>Q15*125/150</f>
        <v>0.016666666666666666</v>
      </c>
      <c r="S15" s="67">
        <v>0</v>
      </c>
      <c r="T15" s="63">
        <f>S15*125/150</f>
        <v>0</v>
      </c>
      <c r="U15" s="67">
        <v>13.28</v>
      </c>
      <c r="V15" s="63">
        <f>U15*125/150</f>
        <v>11.066666666666666</v>
      </c>
      <c r="W15" s="67">
        <v>1.07</v>
      </c>
      <c r="X15" s="71">
        <f>W15*125/150</f>
        <v>0.8916666666666667</v>
      </c>
      <c r="Y15" s="118"/>
      <c r="Z15" s="112"/>
      <c r="AA15" s="112"/>
      <c r="AB15" s="112"/>
      <c r="AC15" s="112"/>
      <c r="AD15" s="112"/>
      <c r="AE15" s="112"/>
      <c r="AF15" s="112"/>
      <c r="AG15" s="112"/>
    </row>
    <row r="16" spans="1:31" ht="15" customHeight="1">
      <c r="A16" s="136" t="s">
        <v>49</v>
      </c>
      <c r="B16" s="65" t="s">
        <v>26</v>
      </c>
      <c r="C16" s="66" t="s">
        <v>5</v>
      </c>
      <c r="D16" s="66" t="s">
        <v>6</v>
      </c>
      <c r="E16" s="62">
        <v>1.58</v>
      </c>
      <c r="F16" s="62">
        <v>1.18</v>
      </c>
      <c r="G16" s="41">
        <v>0</v>
      </c>
      <c r="H16" s="45">
        <v>0</v>
      </c>
      <c r="I16" s="41">
        <v>0</v>
      </c>
      <c r="J16" s="45">
        <f>I16*150/200</f>
        <v>0</v>
      </c>
      <c r="K16" s="41">
        <v>30.6</v>
      </c>
      <c r="L16" s="45">
        <f>K16*150/200</f>
        <v>22.95</v>
      </c>
      <c r="M16" s="41">
        <v>118</v>
      </c>
      <c r="N16" s="45">
        <v>88.5</v>
      </c>
      <c r="O16" s="43">
        <v>0</v>
      </c>
      <c r="P16" s="45">
        <f>O16*150/200</f>
        <v>0</v>
      </c>
      <c r="Q16" s="43">
        <v>0</v>
      </c>
      <c r="R16" s="45">
        <f>Q16*150/200</f>
        <v>0</v>
      </c>
      <c r="S16" s="43">
        <v>0</v>
      </c>
      <c r="T16" s="45">
        <f>S16*150/200</f>
        <v>0</v>
      </c>
      <c r="U16" s="67">
        <f>V16*200/150</f>
        <v>0.2</v>
      </c>
      <c r="V16" s="69">
        <v>0.15</v>
      </c>
      <c r="W16" s="67">
        <f>X16*200/150</f>
        <v>0.02666666666666667</v>
      </c>
      <c r="X16" s="108">
        <v>0.02</v>
      </c>
      <c r="Y16" s="54"/>
      <c r="Z16" s="54"/>
      <c r="AA16" s="54"/>
      <c r="AB16" s="54"/>
      <c r="AC16" s="54"/>
      <c r="AD16" s="54"/>
      <c r="AE16" s="54"/>
    </row>
    <row r="17" spans="1:31" ht="15" customHeight="1">
      <c r="A17" s="22"/>
      <c r="B17" s="23" t="s">
        <v>7</v>
      </c>
      <c r="C17" s="44"/>
      <c r="D17" s="44"/>
      <c r="E17" s="17">
        <f>SUM(E14:E16)</f>
        <v>12.889999999999999</v>
      </c>
      <c r="F17" s="17">
        <f>SUM(F14:F16)</f>
        <v>11.379999999999999</v>
      </c>
      <c r="G17" s="17">
        <f aca="true" t="shared" si="0" ref="G17:T17">SUM(G14:G16)</f>
        <v>7.130000000000001</v>
      </c>
      <c r="H17" s="17">
        <f t="shared" si="0"/>
        <v>6.08</v>
      </c>
      <c r="I17" s="17">
        <f t="shared" si="0"/>
        <v>14.05</v>
      </c>
      <c r="J17" s="17">
        <f t="shared" si="0"/>
        <v>12.05</v>
      </c>
      <c r="K17" s="17">
        <f t="shared" si="0"/>
        <v>69.4</v>
      </c>
      <c r="L17" s="17">
        <f t="shared" si="0"/>
        <v>54.650000000000006</v>
      </c>
      <c r="M17" s="17">
        <f t="shared" si="0"/>
        <v>428.17</v>
      </c>
      <c r="N17" s="17">
        <f t="shared" si="0"/>
        <v>348.07</v>
      </c>
      <c r="O17" s="17">
        <f t="shared" si="0"/>
        <v>0.11</v>
      </c>
      <c r="P17" s="17">
        <f t="shared" si="0"/>
        <v>0.07833333333333334</v>
      </c>
      <c r="Q17" s="17">
        <f t="shared" si="0"/>
        <v>0.08</v>
      </c>
      <c r="R17" s="17">
        <f t="shared" si="0"/>
        <v>0.05666666666666667</v>
      </c>
      <c r="S17" s="17">
        <f t="shared" si="0"/>
        <v>0.14</v>
      </c>
      <c r="T17" s="17">
        <f t="shared" si="0"/>
        <v>0.14</v>
      </c>
      <c r="U17" s="17">
        <f>SUM(U14:U16)</f>
        <v>84.28</v>
      </c>
      <c r="V17" s="17">
        <f>SUM(V14:V16)</f>
        <v>58.416666666666664</v>
      </c>
      <c r="W17" s="17">
        <f>SUM(W14:W16)</f>
        <v>1.9066666666666667</v>
      </c>
      <c r="X17" s="17">
        <f>SUM(X14:X16)</f>
        <v>1.4516666666666669</v>
      </c>
      <c r="Y17" s="73">
        <f>SUM(Y14:Y16)</f>
        <v>0</v>
      </c>
      <c r="Z17" s="59"/>
      <c r="AA17" s="59"/>
      <c r="AB17" s="59"/>
      <c r="AC17" s="59"/>
      <c r="AD17" s="54"/>
      <c r="AE17" s="54"/>
    </row>
    <row r="18" spans="1:31" ht="15" customHeight="1">
      <c r="A18" s="22"/>
      <c r="B18" s="93" t="s">
        <v>8</v>
      </c>
      <c r="C18" s="44"/>
      <c r="D18" s="44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2"/>
      <c r="P18" s="47"/>
      <c r="Q18" s="47"/>
      <c r="R18" s="47"/>
      <c r="S18" s="47"/>
      <c r="T18" s="47"/>
      <c r="U18" s="47"/>
      <c r="V18" s="47"/>
      <c r="W18" s="47"/>
      <c r="X18" s="74"/>
      <c r="Y18" s="55"/>
      <c r="Z18" s="54"/>
      <c r="AA18" s="54"/>
      <c r="AB18" s="54"/>
      <c r="AC18" s="54"/>
      <c r="AD18" s="54"/>
      <c r="AE18" s="54"/>
    </row>
    <row r="19" spans="1:31" s="1" customFormat="1" ht="15" customHeight="1">
      <c r="A19" s="136" t="s">
        <v>52</v>
      </c>
      <c r="B19" s="65" t="s">
        <v>63</v>
      </c>
      <c r="C19" s="66" t="s">
        <v>137</v>
      </c>
      <c r="D19" s="66" t="s">
        <v>137</v>
      </c>
      <c r="E19" s="62">
        <v>4.59</v>
      </c>
      <c r="F19" s="62">
        <v>4.59</v>
      </c>
      <c r="G19" s="67">
        <v>0</v>
      </c>
      <c r="H19" s="69">
        <v>0</v>
      </c>
      <c r="I19" s="67">
        <f>J19*180/150</f>
        <v>0</v>
      </c>
      <c r="J19" s="69">
        <v>0</v>
      </c>
      <c r="K19" s="67">
        <v>10.2</v>
      </c>
      <c r="L19" s="69">
        <v>10.2</v>
      </c>
      <c r="M19" s="67">
        <v>40.8</v>
      </c>
      <c r="N19" s="69">
        <v>40.8</v>
      </c>
      <c r="O19" s="67">
        <f>P19*180/150</f>
        <v>0</v>
      </c>
      <c r="P19" s="69">
        <v>0</v>
      </c>
      <c r="Q19" s="67">
        <f>R19*180/150</f>
        <v>0.024</v>
      </c>
      <c r="R19" s="69">
        <v>0.02</v>
      </c>
      <c r="S19" s="67">
        <v>3.4</v>
      </c>
      <c r="T19" s="69">
        <v>3.4</v>
      </c>
      <c r="U19" s="67">
        <f>V19*180/150</f>
        <v>9.996</v>
      </c>
      <c r="V19" s="69">
        <v>8.33</v>
      </c>
      <c r="W19" s="67">
        <f>X19*180/150</f>
        <v>0.252</v>
      </c>
      <c r="X19" s="108">
        <v>0.21</v>
      </c>
      <c r="Y19" s="58"/>
      <c r="Z19" s="58"/>
      <c r="AA19" s="58"/>
      <c r="AB19" s="58"/>
      <c r="AC19" s="58"/>
      <c r="AD19" s="58"/>
      <c r="AE19" s="58"/>
    </row>
    <row r="20" spans="1:31" ht="15" customHeight="1">
      <c r="A20" s="22"/>
      <c r="B20" s="23" t="s">
        <v>7</v>
      </c>
      <c r="C20" s="44"/>
      <c r="D20" s="44"/>
      <c r="E20" s="17">
        <f>SUM(E19)</f>
        <v>4.59</v>
      </c>
      <c r="F20" s="17">
        <f>SUM(F19)</f>
        <v>4.59</v>
      </c>
      <c r="G20" s="17">
        <f aca="true" t="shared" si="1" ref="G20:T20">SUM(G19)</f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10.2</v>
      </c>
      <c r="L20" s="17">
        <f t="shared" si="1"/>
        <v>10.2</v>
      </c>
      <c r="M20" s="17">
        <f t="shared" si="1"/>
        <v>40.8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3.4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3">
        <f>SUM(Y19)</f>
        <v>0</v>
      </c>
      <c r="Z20" s="59"/>
      <c r="AA20" s="59"/>
      <c r="AB20" s="59"/>
      <c r="AC20" s="59"/>
      <c r="AD20" s="54"/>
      <c r="AE20" s="54"/>
    </row>
    <row r="21" spans="1:31" ht="15" customHeight="1">
      <c r="A21" s="22"/>
      <c r="B21" s="93" t="s">
        <v>9</v>
      </c>
      <c r="C21" s="44"/>
      <c r="D21" s="44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2"/>
      <c r="P21" s="47"/>
      <c r="Q21" s="47"/>
      <c r="R21" s="47"/>
      <c r="S21" s="47"/>
      <c r="T21" s="47"/>
      <c r="U21" s="47"/>
      <c r="V21" s="47"/>
      <c r="W21" s="47"/>
      <c r="X21" s="74"/>
      <c r="Y21" s="55"/>
      <c r="Z21" s="54"/>
      <c r="AA21" s="54"/>
      <c r="AB21" s="54"/>
      <c r="AC21" s="54"/>
      <c r="AD21" s="54"/>
      <c r="AE21" s="54"/>
    </row>
    <row r="22" spans="1:31" ht="15" customHeight="1">
      <c r="A22" s="61" t="s">
        <v>161</v>
      </c>
      <c r="B22" s="115" t="s">
        <v>162</v>
      </c>
      <c r="C22" s="66" t="s">
        <v>116</v>
      </c>
      <c r="D22" s="66" t="s">
        <v>163</v>
      </c>
      <c r="E22" s="62">
        <v>2.3</v>
      </c>
      <c r="F22" s="62">
        <v>2.07</v>
      </c>
      <c r="G22" s="62">
        <f>H22*50/45</f>
        <v>0.6555555555555556</v>
      </c>
      <c r="H22" s="63">
        <v>0.59</v>
      </c>
      <c r="I22" s="62">
        <f>J22*50/45</f>
        <v>7.022222222222222</v>
      </c>
      <c r="J22" s="63">
        <v>6.32</v>
      </c>
      <c r="K22" s="62">
        <f>L22*50/45</f>
        <v>3.111111111111111</v>
      </c>
      <c r="L22" s="63">
        <v>2.8</v>
      </c>
      <c r="M22" s="62">
        <f>N22*50/45</f>
        <v>78.27777777777777</v>
      </c>
      <c r="N22" s="63">
        <v>70.45</v>
      </c>
      <c r="O22" s="63">
        <v>0.04</v>
      </c>
      <c r="P22" s="63">
        <f>O22*45/60</f>
        <v>0.030000000000000002</v>
      </c>
      <c r="Q22" s="63">
        <v>0.02</v>
      </c>
      <c r="R22" s="63">
        <f>Q22*45/60</f>
        <v>0.015000000000000001</v>
      </c>
      <c r="S22" s="62">
        <f>T22*50/45</f>
        <v>3.2222222222222223</v>
      </c>
      <c r="T22" s="63">
        <v>2.9</v>
      </c>
      <c r="U22" s="63">
        <v>13.18</v>
      </c>
      <c r="V22" s="63">
        <f>U22*45/60</f>
        <v>9.885</v>
      </c>
      <c r="W22" s="63">
        <v>0.62</v>
      </c>
      <c r="X22" s="63">
        <f>W22*45/60</f>
        <v>0.46499999999999997</v>
      </c>
      <c r="Z22" s="54"/>
      <c r="AA22" s="54"/>
      <c r="AB22" s="54"/>
      <c r="AC22" s="54"/>
      <c r="AD22" s="54"/>
      <c r="AE22" s="54"/>
    </row>
    <row r="23" spans="1:31" ht="18" customHeight="1">
      <c r="A23" s="135" t="s">
        <v>151</v>
      </c>
      <c r="B23" s="25" t="s">
        <v>182</v>
      </c>
      <c r="C23" s="44" t="s">
        <v>5</v>
      </c>
      <c r="D23" s="44" t="s">
        <v>6</v>
      </c>
      <c r="E23" s="28">
        <v>3.6</v>
      </c>
      <c r="F23" s="28">
        <v>2.7</v>
      </c>
      <c r="G23" s="41">
        <v>2</v>
      </c>
      <c r="H23" s="41">
        <f>G23*150/200</f>
        <v>1.5</v>
      </c>
      <c r="I23" s="41">
        <v>2.2</v>
      </c>
      <c r="J23" s="41">
        <f>I23*150/200</f>
        <v>1.65</v>
      </c>
      <c r="K23" s="41">
        <v>13.6</v>
      </c>
      <c r="L23" s="41">
        <f>K23*150/200</f>
        <v>10.2</v>
      </c>
      <c r="M23" s="41">
        <v>82.2</v>
      </c>
      <c r="N23" s="41">
        <f>M23*150/200</f>
        <v>61.65</v>
      </c>
      <c r="O23" s="29">
        <v>0.12</v>
      </c>
      <c r="P23" s="29">
        <v>0.11</v>
      </c>
      <c r="Q23" s="29">
        <v>0.1</v>
      </c>
      <c r="R23" s="29">
        <v>0.11</v>
      </c>
      <c r="S23" s="29">
        <v>6.6</v>
      </c>
      <c r="T23" s="41">
        <f>S23*150/200</f>
        <v>4.95</v>
      </c>
      <c r="U23" s="29">
        <v>20.26</v>
      </c>
      <c r="V23" s="29">
        <v>19.08</v>
      </c>
      <c r="W23" s="29">
        <v>1</v>
      </c>
      <c r="X23" s="29">
        <v>0.97</v>
      </c>
      <c r="Y23" s="55"/>
      <c r="Z23" s="54"/>
      <c r="AA23" s="54"/>
      <c r="AB23" s="54"/>
      <c r="AC23" s="54"/>
      <c r="AD23" s="54"/>
      <c r="AE23" s="54"/>
    </row>
    <row r="24" spans="1:24" ht="15" customHeight="1">
      <c r="A24" s="135" t="s">
        <v>100</v>
      </c>
      <c r="B24" s="23" t="s">
        <v>101</v>
      </c>
      <c r="C24" s="44" t="s">
        <v>80</v>
      </c>
      <c r="D24" s="44" t="s">
        <v>80</v>
      </c>
      <c r="E24" s="28">
        <v>38.06</v>
      </c>
      <c r="F24" s="28">
        <v>38.06</v>
      </c>
      <c r="G24" s="28">
        <v>12.14</v>
      </c>
      <c r="H24" s="29">
        <v>12.14</v>
      </c>
      <c r="I24" s="28">
        <v>8.96</v>
      </c>
      <c r="J24" s="29">
        <v>8.96</v>
      </c>
      <c r="K24" s="28">
        <v>9.4</v>
      </c>
      <c r="L24" s="29">
        <v>9.4</v>
      </c>
      <c r="M24" s="28">
        <v>166.8</v>
      </c>
      <c r="N24" s="29">
        <v>166.8</v>
      </c>
      <c r="O24" s="29">
        <v>0.2</v>
      </c>
      <c r="P24" s="29">
        <v>0.15</v>
      </c>
      <c r="Q24" s="29">
        <v>0.18</v>
      </c>
      <c r="R24" s="29">
        <v>0.11</v>
      </c>
      <c r="S24" s="29">
        <v>24.5</v>
      </c>
      <c r="T24" s="29">
        <v>24.5</v>
      </c>
      <c r="U24" s="29">
        <v>116.61</v>
      </c>
      <c r="V24" s="29">
        <v>91.87</v>
      </c>
      <c r="W24" s="29">
        <v>4.5</v>
      </c>
      <c r="X24" s="29">
        <v>3.19</v>
      </c>
    </row>
    <row r="25" spans="1:31" ht="27" customHeight="1">
      <c r="A25" s="137" t="s">
        <v>121</v>
      </c>
      <c r="B25" s="115" t="s">
        <v>108</v>
      </c>
      <c r="C25" s="110">
        <v>200</v>
      </c>
      <c r="D25" s="110">
        <v>150</v>
      </c>
      <c r="E25" s="62">
        <v>1.49</v>
      </c>
      <c r="F25" s="62">
        <v>1.12</v>
      </c>
      <c r="G25" s="62">
        <v>0.6</v>
      </c>
      <c r="H25" s="63">
        <f>G25*150/200</f>
        <v>0.45</v>
      </c>
      <c r="I25" s="62">
        <v>0</v>
      </c>
      <c r="J25" s="63">
        <f>I25*150/200</f>
        <v>0</v>
      </c>
      <c r="K25" s="62">
        <v>31.4</v>
      </c>
      <c r="L25" s="63">
        <f>K25*150/200</f>
        <v>23.55</v>
      </c>
      <c r="M25" s="62">
        <v>124</v>
      </c>
      <c r="N25" s="63">
        <f>M25*150/200</f>
        <v>93</v>
      </c>
      <c r="O25" s="63">
        <v>0.02</v>
      </c>
      <c r="P25" s="63">
        <f>O25*150/200</f>
        <v>0.015</v>
      </c>
      <c r="Q25" s="63">
        <v>0.03</v>
      </c>
      <c r="R25" s="63">
        <f>Q25*150/200</f>
        <v>0.0225</v>
      </c>
      <c r="S25" s="63">
        <v>0.45</v>
      </c>
      <c r="T25" s="63">
        <f>S25*150/200</f>
        <v>0.3375</v>
      </c>
      <c r="U25" s="63">
        <v>12.3</v>
      </c>
      <c r="V25" s="63">
        <f>U25*150/200</f>
        <v>9.225</v>
      </c>
      <c r="W25" s="71">
        <v>2</v>
      </c>
      <c r="X25" s="84">
        <f>W25*150/200</f>
        <v>1.5</v>
      </c>
      <c r="Y25" s="54"/>
      <c r="Z25" s="54"/>
      <c r="AA25" s="54"/>
      <c r="AB25" s="54"/>
      <c r="AC25" s="54"/>
      <c r="AD25" s="54"/>
      <c r="AE25" s="54"/>
    </row>
    <row r="26" spans="1:31" s="16" customFormat="1" ht="15" customHeight="1">
      <c r="A26" s="135"/>
      <c r="B26" s="23" t="s">
        <v>11</v>
      </c>
      <c r="C26" s="44" t="s">
        <v>14</v>
      </c>
      <c r="D26" s="44" t="s">
        <v>14</v>
      </c>
      <c r="E26" s="28">
        <v>1.11</v>
      </c>
      <c r="F26" s="28">
        <v>1.11</v>
      </c>
      <c r="G26" s="28">
        <v>1.6</v>
      </c>
      <c r="H26" s="28">
        <v>1.6</v>
      </c>
      <c r="I26" s="28">
        <v>0.4</v>
      </c>
      <c r="J26" s="28">
        <v>0.4</v>
      </c>
      <c r="K26" s="28">
        <v>10</v>
      </c>
      <c r="L26" s="28">
        <v>10</v>
      </c>
      <c r="M26" s="29">
        <v>54</v>
      </c>
      <c r="N26" s="29">
        <v>54</v>
      </c>
      <c r="O26" s="43">
        <v>0.04</v>
      </c>
      <c r="P26" s="48">
        <v>0.04</v>
      </c>
      <c r="Q26" s="43">
        <v>0.02</v>
      </c>
      <c r="R26" s="48">
        <v>0.02</v>
      </c>
      <c r="S26" s="43">
        <v>0</v>
      </c>
      <c r="T26" s="48">
        <v>0</v>
      </c>
      <c r="U26" s="43">
        <v>7.4</v>
      </c>
      <c r="V26" s="48">
        <v>7.4</v>
      </c>
      <c r="W26" s="43">
        <v>0.56</v>
      </c>
      <c r="X26" s="48">
        <v>0.56</v>
      </c>
      <c r="Y26" s="57"/>
      <c r="Z26" s="57"/>
      <c r="AA26" s="57"/>
      <c r="AB26" s="57"/>
      <c r="AC26" s="57"/>
      <c r="AD26" s="57"/>
      <c r="AE26" s="57"/>
    </row>
    <row r="27" spans="1:31" ht="15" customHeight="1">
      <c r="A27" s="135"/>
      <c r="B27" s="23" t="s">
        <v>48</v>
      </c>
      <c r="C27" s="44" t="s">
        <v>83</v>
      </c>
      <c r="D27" s="44" t="s">
        <v>84</v>
      </c>
      <c r="E27" s="28">
        <v>2.09</v>
      </c>
      <c r="F27" s="28">
        <v>1.83</v>
      </c>
      <c r="G27" s="28">
        <v>3.25</v>
      </c>
      <c r="H27" s="29">
        <v>2.84</v>
      </c>
      <c r="I27" s="29">
        <v>0.46</v>
      </c>
      <c r="J27" s="29">
        <f>I27*40.6/46</f>
        <v>0.406</v>
      </c>
      <c r="K27" s="29">
        <v>20.88</v>
      </c>
      <c r="L27" s="29">
        <v>18.27</v>
      </c>
      <c r="M27" s="29">
        <v>102.08</v>
      </c>
      <c r="N27" s="29">
        <v>89.32</v>
      </c>
      <c r="O27" s="41">
        <v>0.06</v>
      </c>
      <c r="P27" s="45">
        <v>0.04</v>
      </c>
      <c r="Q27" s="41">
        <v>0.04</v>
      </c>
      <c r="R27" s="45">
        <v>0.03</v>
      </c>
      <c r="S27" s="41">
        <v>0</v>
      </c>
      <c r="T27" s="29">
        <f>S27*40.6/46</f>
        <v>0</v>
      </c>
      <c r="U27" s="43">
        <v>17</v>
      </c>
      <c r="V27" s="48">
        <v>13.6</v>
      </c>
      <c r="W27" s="43">
        <v>1.15</v>
      </c>
      <c r="X27" s="48">
        <v>0.92</v>
      </c>
      <c r="Y27" s="54"/>
      <c r="Z27" s="54"/>
      <c r="AA27" s="54"/>
      <c r="AB27" s="54"/>
      <c r="AC27" s="54"/>
      <c r="AD27" s="54"/>
      <c r="AE27" s="54"/>
    </row>
    <row r="28" spans="1:31" ht="15" customHeight="1">
      <c r="A28" s="22"/>
      <c r="B28" s="23" t="s">
        <v>7</v>
      </c>
      <c r="C28" s="44"/>
      <c r="D28" s="44"/>
      <c r="E28" s="17">
        <f>SUM(E22:E27)</f>
        <v>48.650000000000006</v>
      </c>
      <c r="F28" s="17">
        <f>SUM(F22:F27)</f>
        <v>46.88999999999999</v>
      </c>
      <c r="G28" s="17">
        <f aca="true" t="shared" si="2" ref="G28:T28">SUM(G22:G27)</f>
        <v>20.245555555555555</v>
      </c>
      <c r="H28" s="17">
        <f t="shared" si="2"/>
        <v>19.12</v>
      </c>
      <c r="I28" s="17">
        <f t="shared" si="2"/>
        <v>19.04222222222222</v>
      </c>
      <c r="J28" s="17">
        <f t="shared" si="2"/>
        <v>17.735999999999997</v>
      </c>
      <c r="K28" s="17">
        <f>SUM(K22:K27)+7</f>
        <v>95.39111111111112</v>
      </c>
      <c r="L28" s="17">
        <f>SUM(L22:L27)+0</f>
        <v>74.22</v>
      </c>
      <c r="M28" s="17">
        <f>SUM(M22:M27)-0</f>
        <v>607.3577777777778</v>
      </c>
      <c r="N28" s="17">
        <f>SUM(N22:N27)-65</f>
        <v>470.22</v>
      </c>
      <c r="O28" s="17">
        <f t="shared" si="2"/>
        <v>0.48</v>
      </c>
      <c r="P28" s="17">
        <f t="shared" si="2"/>
        <v>0.385</v>
      </c>
      <c r="Q28" s="17">
        <f t="shared" si="2"/>
        <v>0.38999999999999996</v>
      </c>
      <c r="R28" s="17">
        <f t="shared" si="2"/>
        <v>0.3075</v>
      </c>
      <c r="S28" s="17">
        <f t="shared" si="2"/>
        <v>34.772222222222226</v>
      </c>
      <c r="T28" s="17">
        <f t="shared" si="2"/>
        <v>32.6875</v>
      </c>
      <c r="U28" s="17">
        <f>SUM(U22:U27)</f>
        <v>186.75000000000003</v>
      </c>
      <c r="V28" s="17">
        <f>SUM(V22:V27)</f>
        <v>151.06</v>
      </c>
      <c r="W28" s="17">
        <f>SUM(W22:W27)</f>
        <v>9.830000000000002</v>
      </c>
      <c r="X28" s="17">
        <f>SUM(X22:X27)</f>
        <v>7.605</v>
      </c>
      <c r="Y28" s="64"/>
      <c r="Z28" s="59"/>
      <c r="AA28" s="59"/>
      <c r="AB28" s="59"/>
      <c r="AC28" s="59"/>
      <c r="AD28" s="54"/>
      <c r="AE28" s="54"/>
    </row>
    <row r="29" spans="1:31" ht="15" customHeight="1">
      <c r="A29" s="22"/>
      <c r="B29" s="93" t="s">
        <v>12</v>
      </c>
      <c r="C29" s="44"/>
      <c r="D29" s="44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42"/>
      <c r="P29" s="47"/>
      <c r="Q29" s="47"/>
      <c r="R29" s="47"/>
      <c r="S29" s="47"/>
      <c r="T29" s="47"/>
      <c r="U29" s="47"/>
      <c r="V29" s="47"/>
      <c r="W29" s="47"/>
      <c r="X29" s="74"/>
      <c r="Y29" s="55"/>
      <c r="Z29" s="54"/>
      <c r="AA29" s="54"/>
      <c r="AB29" s="54"/>
      <c r="AC29" s="54"/>
      <c r="AD29" s="54"/>
      <c r="AE29" s="54"/>
    </row>
    <row r="30" spans="1:31" ht="15" customHeight="1">
      <c r="A30" s="135" t="s">
        <v>23</v>
      </c>
      <c r="B30" s="23" t="s">
        <v>20</v>
      </c>
      <c r="C30" s="44" t="s">
        <v>31</v>
      </c>
      <c r="D30" s="44" t="s">
        <v>31</v>
      </c>
      <c r="E30" s="28">
        <v>10.36</v>
      </c>
      <c r="F30" s="28">
        <v>10.36</v>
      </c>
      <c r="G30" s="28">
        <v>5.31</v>
      </c>
      <c r="H30" s="29">
        <v>5.31</v>
      </c>
      <c r="I30" s="28">
        <v>4.5</v>
      </c>
      <c r="J30" s="29">
        <v>4.5</v>
      </c>
      <c r="K30" s="28">
        <v>8.91</v>
      </c>
      <c r="L30" s="29">
        <v>8.91</v>
      </c>
      <c r="M30" s="28">
        <v>97.38</v>
      </c>
      <c r="N30" s="29">
        <v>97.38</v>
      </c>
      <c r="O30" s="28">
        <v>0.07</v>
      </c>
      <c r="P30" s="29">
        <v>0.07</v>
      </c>
      <c r="Q30" s="28">
        <v>0.3</v>
      </c>
      <c r="R30" s="29">
        <v>0.3</v>
      </c>
      <c r="S30" s="28">
        <v>2.46</v>
      </c>
      <c r="T30" s="29">
        <v>2.46</v>
      </c>
      <c r="U30" s="28">
        <v>275.74</v>
      </c>
      <c r="V30" s="29">
        <v>275.74</v>
      </c>
      <c r="W30" s="28">
        <v>0.23</v>
      </c>
      <c r="X30" s="29">
        <v>0.23</v>
      </c>
      <c r="Y30" s="58"/>
      <c r="Z30" s="58"/>
      <c r="AA30" s="58"/>
      <c r="AB30" s="58"/>
      <c r="AC30" s="58"/>
      <c r="AD30" s="58"/>
      <c r="AE30" s="54"/>
    </row>
    <row r="31" spans="1:32" ht="15" customHeight="1">
      <c r="A31" s="61"/>
      <c r="B31" s="65" t="s">
        <v>7</v>
      </c>
      <c r="C31" s="119"/>
      <c r="D31" s="119"/>
      <c r="E31" s="127">
        <f>SUM(E30)</f>
        <v>10.36</v>
      </c>
      <c r="F31" s="127">
        <f>SUM(F30)</f>
        <v>10.36</v>
      </c>
      <c r="G31" s="127">
        <f aca="true" t="shared" si="3" ref="G31:T31">SUM(G30)</f>
        <v>5.31</v>
      </c>
      <c r="H31" s="127">
        <f t="shared" si="3"/>
        <v>5.31</v>
      </c>
      <c r="I31" s="127">
        <f t="shared" si="3"/>
        <v>4.5</v>
      </c>
      <c r="J31" s="127">
        <f t="shared" si="3"/>
        <v>4.5</v>
      </c>
      <c r="K31" s="127">
        <f t="shared" si="3"/>
        <v>8.91</v>
      </c>
      <c r="L31" s="127">
        <f t="shared" si="3"/>
        <v>8.91</v>
      </c>
      <c r="M31" s="127">
        <f t="shared" si="3"/>
        <v>97.38</v>
      </c>
      <c r="N31" s="127">
        <f t="shared" si="3"/>
        <v>97.38</v>
      </c>
      <c r="O31" s="127">
        <f t="shared" si="3"/>
        <v>0.07</v>
      </c>
      <c r="P31" s="127">
        <f t="shared" si="3"/>
        <v>0.07</v>
      </c>
      <c r="Q31" s="127">
        <f t="shared" si="3"/>
        <v>0.3</v>
      </c>
      <c r="R31" s="127">
        <f t="shared" si="3"/>
        <v>0.3</v>
      </c>
      <c r="S31" s="127">
        <f t="shared" si="3"/>
        <v>2.46</v>
      </c>
      <c r="T31" s="127">
        <f t="shared" si="3"/>
        <v>2.46</v>
      </c>
      <c r="U31" s="82">
        <f>SUM(U30:U30)</f>
        <v>275.74</v>
      </c>
      <c r="V31" s="82">
        <f>SUM(V30:V30)</f>
        <v>275.74</v>
      </c>
      <c r="W31" s="82">
        <f>SUM(W30:W30)</f>
        <v>0.23</v>
      </c>
      <c r="X31" s="128">
        <f>SUM(X30:X30)</f>
        <v>0.23</v>
      </c>
      <c r="Y31" s="59"/>
      <c r="Z31" s="59"/>
      <c r="AA31" s="59"/>
      <c r="AB31" s="59"/>
      <c r="AC31" s="59"/>
      <c r="AD31" s="54"/>
      <c r="AE31" s="54"/>
      <c r="AF31" s="54"/>
    </row>
    <row r="32" spans="1:31" ht="15" customHeight="1">
      <c r="A32" s="22"/>
      <c r="B32" s="93" t="s">
        <v>13</v>
      </c>
      <c r="C32" s="44"/>
      <c r="D32" s="44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5"/>
      <c r="Y32" s="60"/>
      <c r="Z32" s="58"/>
      <c r="AA32" s="58"/>
      <c r="AB32" s="58"/>
      <c r="AC32" s="58"/>
      <c r="AD32" s="58"/>
      <c r="AE32" s="54"/>
    </row>
    <row r="33" spans="1:33" s="7" customFormat="1" ht="27" customHeight="1">
      <c r="A33" s="159" t="s">
        <v>167</v>
      </c>
      <c r="B33" s="23" t="s">
        <v>168</v>
      </c>
      <c r="C33" s="44" t="s">
        <v>10</v>
      </c>
      <c r="D33" s="44" t="s">
        <v>10</v>
      </c>
      <c r="E33" s="28">
        <v>23.4</v>
      </c>
      <c r="F33" s="28">
        <v>23.4</v>
      </c>
      <c r="G33" s="28">
        <v>10.72</v>
      </c>
      <c r="H33" s="29">
        <v>10.72</v>
      </c>
      <c r="I33" s="29">
        <v>3.19</v>
      </c>
      <c r="J33" s="29">
        <v>3.19</v>
      </c>
      <c r="K33" s="29">
        <v>2.31</v>
      </c>
      <c r="L33" s="29">
        <v>2.31</v>
      </c>
      <c r="M33" s="29">
        <v>80.82</v>
      </c>
      <c r="N33" s="29">
        <v>80.82</v>
      </c>
      <c r="O33" s="29">
        <v>0.09</v>
      </c>
      <c r="P33" s="29">
        <v>0.09</v>
      </c>
      <c r="Q33" s="29">
        <v>0.1</v>
      </c>
      <c r="R33" s="29">
        <v>0.1</v>
      </c>
      <c r="S33" s="29">
        <v>2.99</v>
      </c>
      <c r="T33" s="29">
        <v>2.99</v>
      </c>
      <c r="U33" s="29">
        <v>23.97</v>
      </c>
      <c r="V33" s="29">
        <v>23.97</v>
      </c>
      <c r="W33" s="29">
        <v>0.61</v>
      </c>
      <c r="X33" s="29">
        <v>0.61</v>
      </c>
      <c r="Y33" s="85"/>
      <c r="Z33" s="85"/>
      <c r="AA33" s="85"/>
      <c r="AB33" s="85"/>
      <c r="AC33" s="85"/>
      <c r="AD33" s="77"/>
      <c r="AE33" s="77"/>
      <c r="AF33" s="77"/>
      <c r="AG33" s="77"/>
    </row>
    <row r="34" spans="1:29" ht="15" customHeight="1">
      <c r="A34" s="135" t="s">
        <v>183</v>
      </c>
      <c r="B34" s="23" t="s">
        <v>184</v>
      </c>
      <c r="C34" s="44" t="s">
        <v>6</v>
      </c>
      <c r="D34" s="44" t="s">
        <v>82</v>
      </c>
      <c r="E34" s="28">
        <v>11.35</v>
      </c>
      <c r="F34" s="28">
        <v>9.83</v>
      </c>
      <c r="G34" s="28">
        <v>3.15</v>
      </c>
      <c r="H34" s="29">
        <f>G34*130/150</f>
        <v>2.73</v>
      </c>
      <c r="I34" s="28">
        <v>9.6</v>
      </c>
      <c r="J34" s="29">
        <f>I34*130/150</f>
        <v>8.32</v>
      </c>
      <c r="K34" s="28">
        <v>27.7</v>
      </c>
      <c r="L34" s="29">
        <f>K34*130/150</f>
        <v>24.006666666666668</v>
      </c>
      <c r="M34" s="28">
        <v>209.8</v>
      </c>
      <c r="N34" s="29">
        <f>M34*130/150</f>
        <v>181.82666666666665</v>
      </c>
      <c r="O34" s="28">
        <v>0.15</v>
      </c>
      <c r="P34" s="42">
        <v>0.1</v>
      </c>
      <c r="Q34" s="28">
        <f>R34*150/100</f>
        <v>0.075</v>
      </c>
      <c r="R34" s="42">
        <v>0.05</v>
      </c>
      <c r="S34" s="28">
        <v>10.92</v>
      </c>
      <c r="T34" s="29">
        <f>S34*130/150</f>
        <v>9.463999999999999</v>
      </c>
      <c r="U34" s="28">
        <f>V34*150/100</f>
        <v>41.655</v>
      </c>
      <c r="V34" s="42">
        <v>27.77</v>
      </c>
      <c r="W34" s="28">
        <f>X34*150/100</f>
        <v>1.8</v>
      </c>
      <c r="X34" s="42">
        <v>1.2</v>
      </c>
      <c r="Z34" s="54"/>
      <c r="AA34" s="54"/>
      <c r="AB34" s="54"/>
      <c r="AC34" s="54"/>
    </row>
    <row r="35" spans="1:31" ht="15" customHeight="1">
      <c r="A35" s="136" t="s">
        <v>92</v>
      </c>
      <c r="B35" s="68" t="s">
        <v>93</v>
      </c>
      <c r="C35" s="66" t="s">
        <v>5</v>
      </c>
      <c r="D35" s="66" t="s">
        <v>6</v>
      </c>
      <c r="E35" s="62">
        <v>0.51</v>
      </c>
      <c r="F35" s="62">
        <v>0.38</v>
      </c>
      <c r="G35" s="62">
        <v>0.18</v>
      </c>
      <c r="H35" s="63">
        <v>0.13</v>
      </c>
      <c r="I35" s="62">
        <f>J35*200/150</f>
        <v>0</v>
      </c>
      <c r="J35" s="63">
        <v>0</v>
      </c>
      <c r="K35" s="62">
        <v>4.78</v>
      </c>
      <c r="L35" s="63">
        <v>3.58</v>
      </c>
      <c r="M35" s="62">
        <v>19.9</v>
      </c>
      <c r="N35" s="63">
        <v>14.92</v>
      </c>
      <c r="O35" s="62">
        <f>P35*200/150</f>
        <v>0.013333333333333334</v>
      </c>
      <c r="P35" s="70">
        <v>0.01</v>
      </c>
      <c r="Q35" s="62">
        <f>R35*200/150</f>
        <v>0.013333333333333334</v>
      </c>
      <c r="R35" s="70">
        <v>0.01</v>
      </c>
      <c r="S35" s="62">
        <v>0.04</v>
      </c>
      <c r="T35" s="70">
        <v>0.03</v>
      </c>
      <c r="U35" s="62">
        <f>V35*200/150</f>
        <v>5.053333333333334</v>
      </c>
      <c r="V35" s="70">
        <v>3.79</v>
      </c>
      <c r="W35" s="62">
        <f>X35*200/150</f>
        <v>0.84</v>
      </c>
      <c r="X35" s="124">
        <v>0.63</v>
      </c>
      <c r="Y35" s="54"/>
      <c r="Z35" s="54"/>
      <c r="AA35" s="54"/>
      <c r="AB35" s="54"/>
      <c r="AC35" s="54"/>
      <c r="AD35" s="54"/>
      <c r="AE35" s="54"/>
    </row>
    <row r="36" spans="1:31" s="16" customFormat="1" ht="15" customHeight="1">
      <c r="A36" s="135"/>
      <c r="B36" s="23" t="s">
        <v>11</v>
      </c>
      <c r="C36" s="44" t="s">
        <v>14</v>
      </c>
      <c r="D36" s="44" t="s">
        <v>14</v>
      </c>
      <c r="E36" s="28">
        <v>1.11</v>
      </c>
      <c r="F36" s="28">
        <v>1.11</v>
      </c>
      <c r="G36" s="28">
        <v>1.6</v>
      </c>
      <c r="H36" s="28">
        <v>1.6</v>
      </c>
      <c r="I36" s="28">
        <v>0.4</v>
      </c>
      <c r="J36" s="28">
        <v>0.4</v>
      </c>
      <c r="K36" s="28">
        <v>10</v>
      </c>
      <c r="L36" s="28">
        <v>10</v>
      </c>
      <c r="M36" s="29">
        <v>54</v>
      </c>
      <c r="N36" s="29">
        <v>54</v>
      </c>
      <c r="O36" s="43">
        <v>0.04</v>
      </c>
      <c r="P36" s="48">
        <v>0.04</v>
      </c>
      <c r="Q36" s="43">
        <v>0.02</v>
      </c>
      <c r="R36" s="48">
        <v>0.02</v>
      </c>
      <c r="S36" s="43">
        <v>0</v>
      </c>
      <c r="T36" s="48">
        <v>0</v>
      </c>
      <c r="U36" s="43">
        <v>7.4</v>
      </c>
      <c r="V36" s="48">
        <v>7.4</v>
      </c>
      <c r="W36" s="43">
        <v>0.56</v>
      </c>
      <c r="X36" s="48">
        <v>0.56</v>
      </c>
      <c r="Y36" s="57"/>
      <c r="Z36" s="57"/>
      <c r="AA36" s="57"/>
      <c r="AB36" s="57"/>
      <c r="AC36" s="57"/>
      <c r="AD36" s="57"/>
      <c r="AE36" s="57"/>
    </row>
    <row r="37" spans="1:31" ht="15" customHeight="1">
      <c r="A37" s="22"/>
      <c r="B37" s="23" t="s">
        <v>7</v>
      </c>
      <c r="C37" s="44"/>
      <c r="D37" s="44"/>
      <c r="E37" s="17">
        <f>SUM(E33:E36)</f>
        <v>36.37</v>
      </c>
      <c r="F37" s="17">
        <f>SUM(F33:F36)</f>
        <v>34.72</v>
      </c>
      <c r="G37" s="17">
        <f aca="true" t="shared" si="4" ref="G37:T37">SUM(G33:G36)</f>
        <v>15.65</v>
      </c>
      <c r="H37" s="17">
        <f t="shared" si="4"/>
        <v>15.180000000000001</v>
      </c>
      <c r="I37" s="17">
        <f t="shared" si="4"/>
        <v>13.19</v>
      </c>
      <c r="J37" s="17">
        <f t="shared" si="4"/>
        <v>11.91</v>
      </c>
      <c r="K37" s="17">
        <f t="shared" si="4"/>
        <v>44.79</v>
      </c>
      <c r="L37" s="17">
        <f t="shared" si="4"/>
        <v>39.89666666666667</v>
      </c>
      <c r="M37" s="17">
        <f t="shared" si="4"/>
        <v>364.52</v>
      </c>
      <c r="N37" s="17">
        <f t="shared" si="4"/>
        <v>331.56666666666666</v>
      </c>
      <c r="O37" s="17">
        <f t="shared" si="4"/>
        <v>0.2933333333333333</v>
      </c>
      <c r="P37" s="17">
        <f t="shared" si="4"/>
        <v>0.24000000000000002</v>
      </c>
      <c r="Q37" s="17">
        <f t="shared" si="4"/>
        <v>0.20833333333333331</v>
      </c>
      <c r="R37" s="17">
        <f t="shared" si="4"/>
        <v>0.18000000000000002</v>
      </c>
      <c r="S37" s="17">
        <f t="shared" si="4"/>
        <v>13.95</v>
      </c>
      <c r="T37" s="17">
        <f t="shared" si="4"/>
        <v>12.483999999999998</v>
      </c>
      <c r="U37" s="17">
        <f>SUM(U33:U36)</f>
        <v>78.07833333333333</v>
      </c>
      <c r="V37" s="17">
        <f>SUM(V33:V36)</f>
        <v>62.92999999999999</v>
      </c>
      <c r="W37" s="17">
        <f>SUM(W33:W36)</f>
        <v>3.81</v>
      </c>
      <c r="X37" s="17">
        <f>SUM(X33:X36)</f>
        <v>3</v>
      </c>
      <c r="Y37" s="73">
        <f>SUM(Y33:Y36)</f>
        <v>0</v>
      </c>
      <c r="Z37" s="59"/>
      <c r="AA37" s="59"/>
      <c r="AB37" s="59"/>
      <c r="AC37" s="59"/>
      <c r="AD37" s="54"/>
      <c r="AE37" s="54"/>
    </row>
    <row r="38" spans="1:31" ht="15" customHeight="1">
      <c r="A38" s="22"/>
      <c r="B38" s="23" t="s">
        <v>15</v>
      </c>
      <c r="C38" s="44"/>
      <c r="D38" s="44"/>
      <c r="E38" s="17">
        <f>E37+E31+E28+E20+E17</f>
        <v>112.86</v>
      </c>
      <c r="F38" s="17">
        <f>F37+F31+F28+F20+F17</f>
        <v>107.94</v>
      </c>
      <c r="G38" s="17">
        <f aca="true" t="shared" si="5" ref="G38:T38">G37+G31+G28+G20+G17</f>
        <v>48.33555555555556</v>
      </c>
      <c r="H38" s="17">
        <f t="shared" si="5"/>
        <v>45.69</v>
      </c>
      <c r="I38" s="17">
        <f t="shared" si="5"/>
        <v>50.78222222222222</v>
      </c>
      <c r="J38" s="17">
        <f t="shared" si="5"/>
        <v>46.196</v>
      </c>
      <c r="K38" s="17">
        <f t="shared" si="5"/>
        <v>228.6911111111111</v>
      </c>
      <c r="L38" s="17">
        <f t="shared" si="5"/>
        <v>187.87666666666667</v>
      </c>
      <c r="M38" s="17">
        <f t="shared" si="5"/>
        <v>1538.2277777777779</v>
      </c>
      <c r="N38" s="17">
        <f t="shared" si="5"/>
        <v>1288.0366666666666</v>
      </c>
      <c r="O38" s="17">
        <f t="shared" si="5"/>
        <v>0.9533333333333333</v>
      </c>
      <c r="P38" s="17">
        <f t="shared" si="5"/>
        <v>0.7733333333333334</v>
      </c>
      <c r="Q38" s="17">
        <f t="shared" si="5"/>
        <v>1.0023333333333333</v>
      </c>
      <c r="R38" s="17">
        <f t="shared" si="5"/>
        <v>0.8641666666666666</v>
      </c>
      <c r="S38" s="17">
        <f t="shared" si="5"/>
        <v>54.72222222222222</v>
      </c>
      <c r="T38" s="17">
        <f t="shared" si="5"/>
        <v>51.1715</v>
      </c>
      <c r="U38" s="17">
        <f>U37+U31+U28+U20+U17</f>
        <v>634.8443333333333</v>
      </c>
      <c r="V38" s="17">
        <f>V37+V31+V28+V20+V17</f>
        <v>556.4766666666667</v>
      </c>
      <c r="W38" s="17">
        <f>W37+W31+W28+W20+W17</f>
        <v>16.02866666666667</v>
      </c>
      <c r="X38" s="17">
        <f>X37+X31+X28+X20+X17</f>
        <v>12.496666666666668</v>
      </c>
      <c r="Y38" s="73">
        <f>Y37+Y31+Y28+Y20+Y17</f>
        <v>0</v>
      </c>
      <c r="Z38" s="59"/>
      <c r="AA38" s="59"/>
      <c r="AB38" s="59"/>
      <c r="AC38" s="59"/>
      <c r="AD38" s="54"/>
      <c r="AE38" s="54"/>
    </row>
    <row r="39" spans="1:31" ht="15" customHeight="1">
      <c r="A39" s="22"/>
      <c r="B39" s="23"/>
      <c r="C39" s="44"/>
      <c r="D39" s="4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73"/>
      <c r="Y39" s="64"/>
      <c r="Z39" s="59"/>
      <c r="AA39" s="59"/>
      <c r="AB39" s="59"/>
      <c r="AC39" s="59"/>
      <c r="AD39" s="54"/>
      <c r="AE39" s="54"/>
    </row>
    <row r="40" spans="1:31" ht="15" customHeight="1">
      <c r="A40" s="22"/>
      <c r="B40" s="23"/>
      <c r="C40" s="44"/>
      <c r="D40" s="4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73"/>
      <c r="Y40" s="64"/>
      <c r="Z40" s="59"/>
      <c r="AA40" s="59"/>
      <c r="AB40" s="59"/>
      <c r="AC40" s="59"/>
      <c r="AD40" s="54"/>
      <c r="AE40" s="54"/>
    </row>
    <row r="41" spans="1:31" ht="15" customHeight="1">
      <c r="A41" s="22"/>
      <c r="B41" s="23"/>
      <c r="C41" s="44"/>
      <c r="D41" s="4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73"/>
      <c r="Y41" s="64"/>
      <c r="Z41" s="59"/>
      <c r="AA41" s="59"/>
      <c r="AB41" s="59"/>
      <c r="AC41" s="59"/>
      <c r="AD41" s="54"/>
      <c r="AE41" s="54"/>
    </row>
    <row r="42" spans="1:31" ht="15" customHeight="1">
      <c r="A42" s="22"/>
      <c r="B42" s="92" t="s">
        <v>157</v>
      </c>
      <c r="C42" s="44"/>
      <c r="D42" s="44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76"/>
      <c r="Y42" s="55"/>
      <c r="Z42" s="54"/>
      <c r="AA42" s="54"/>
      <c r="AB42" s="54"/>
      <c r="AC42" s="54"/>
      <c r="AD42" s="54"/>
      <c r="AE42" s="54"/>
    </row>
    <row r="43" spans="1:31" ht="15" customHeight="1">
      <c r="A43" s="22"/>
      <c r="B43" s="93" t="s">
        <v>4</v>
      </c>
      <c r="C43" s="44"/>
      <c r="D43" s="44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42"/>
      <c r="P43" s="42"/>
      <c r="Q43" s="42"/>
      <c r="R43" s="42"/>
      <c r="S43" s="42"/>
      <c r="T43" s="42"/>
      <c r="U43" s="42"/>
      <c r="V43" s="42"/>
      <c r="W43" s="42"/>
      <c r="X43" s="76"/>
      <c r="Y43" s="55"/>
      <c r="Z43" s="54"/>
      <c r="AA43" s="54"/>
      <c r="AB43" s="54"/>
      <c r="AC43" s="54"/>
      <c r="AD43" s="54"/>
      <c r="AE43" s="54"/>
    </row>
    <row r="44" spans="1:30" s="7" customFormat="1" ht="15" customHeight="1">
      <c r="A44" s="135" t="s">
        <v>53</v>
      </c>
      <c r="B44" s="23" t="s">
        <v>55</v>
      </c>
      <c r="C44" s="44" t="s">
        <v>91</v>
      </c>
      <c r="D44" s="44" t="s">
        <v>91</v>
      </c>
      <c r="E44" s="28">
        <v>4.03</v>
      </c>
      <c r="F44" s="28">
        <v>4.03</v>
      </c>
      <c r="G44" s="28">
        <v>1.63</v>
      </c>
      <c r="H44" s="29">
        <v>1.63</v>
      </c>
      <c r="I44" s="29">
        <v>4.7</v>
      </c>
      <c r="J44" s="29">
        <v>4.7</v>
      </c>
      <c r="K44" s="29">
        <v>10.4</v>
      </c>
      <c r="L44" s="29">
        <v>10.4</v>
      </c>
      <c r="M44" s="29">
        <v>90.42</v>
      </c>
      <c r="N44" s="29">
        <v>90.42</v>
      </c>
      <c r="O44" s="41">
        <v>0.08</v>
      </c>
      <c r="P44" s="45">
        <v>0.05</v>
      </c>
      <c r="Q44" s="41">
        <v>0.04</v>
      </c>
      <c r="R44" s="45">
        <v>0.02</v>
      </c>
      <c r="S44" s="41">
        <v>0</v>
      </c>
      <c r="T44" s="29">
        <f>S44*25/45</f>
        <v>0</v>
      </c>
      <c r="U44" s="43">
        <v>13.6</v>
      </c>
      <c r="V44" s="48">
        <v>8.6</v>
      </c>
      <c r="W44" s="43">
        <v>0.81</v>
      </c>
      <c r="X44" s="48">
        <v>0.49</v>
      </c>
      <c r="Y44" s="77"/>
      <c r="Z44" s="77"/>
      <c r="AA44" s="77"/>
      <c r="AB44" s="77"/>
      <c r="AC44" s="77"/>
      <c r="AD44" s="77"/>
    </row>
    <row r="45" spans="1:33" ht="13.5" customHeight="1">
      <c r="A45" s="135" t="s">
        <v>85</v>
      </c>
      <c r="B45" s="23" t="s">
        <v>107</v>
      </c>
      <c r="C45" s="44" t="s">
        <v>5</v>
      </c>
      <c r="D45" s="44" t="s">
        <v>6</v>
      </c>
      <c r="E45" s="62">
        <v>6.72</v>
      </c>
      <c r="F45" s="62">
        <v>5.04</v>
      </c>
      <c r="G45" s="28">
        <v>5.76</v>
      </c>
      <c r="H45" s="28">
        <v>4.32</v>
      </c>
      <c r="I45" s="28">
        <v>6.64</v>
      </c>
      <c r="J45" s="28">
        <v>4.98</v>
      </c>
      <c r="K45" s="28">
        <v>19.28</v>
      </c>
      <c r="L45" s="28">
        <f>K45*150/200</f>
        <v>14.46</v>
      </c>
      <c r="M45" s="28">
        <v>160</v>
      </c>
      <c r="N45" s="28">
        <v>120</v>
      </c>
      <c r="O45" s="29">
        <v>0.09</v>
      </c>
      <c r="P45" s="28">
        <f>O45*150/200</f>
        <v>0.0675</v>
      </c>
      <c r="Q45" s="29">
        <v>0.14</v>
      </c>
      <c r="R45" s="28">
        <f>Q45*150/200</f>
        <v>0.10500000000000002</v>
      </c>
      <c r="S45" s="29">
        <v>0.9</v>
      </c>
      <c r="T45" s="28">
        <v>0.67</v>
      </c>
      <c r="U45" s="29">
        <v>129.32</v>
      </c>
      <c r="V45" s="28">
        <f>U45*150/200</f>
        <v>96.99</v>
      </c>
      <c r="W45" s="29">
        <v>0.42</v>
      </c>
      <c r="X45" s="129">
        <f>W45*150/200</f>
        <v>0.315</v>
      </c>
      <c r="Y45" s="55"/>
      <c r="Z45" s="54"/>
      <c r="AA45" s="54"/>
      <c r="AB45" s="54"/>
      <c r="AC45" s="54"/>
      <c r="AD45" s="54"/>
      <c r="AE45" s="54"/>
      <c r="AF45" s="54"/>
      <c r="AG45" s="54"/>
    </row>
    <row r="46" spans="1:31" ht="15" customHeight="1">
      <c r="A46" s="135" t="s">
        <v>32</v>
      </c>
      <c r="B46" s="23" t="s">
        <v>33</v>
      </c>
      <c r="C46" s="44" t="s">
        <v>31</v>
      </c>
      <c r="D46" s="44" t="s">
        <v>6</v>
      </c>
      <c r="E46" s="28">
        <v>5.87</v>
      </c>
      <c r="F46" s="28">
        <v>4.89</v>
      </c>
      <c r="G46" s="41">
        <v>2.95</v>
      </c>
      <c r="H46" s="41">
        <v>2.46</v>
      </c>
      <c r="I46" s="41">
        <v>3.24</v>
      </c>
      <c r="J46" s="41">
        <v>2.7</v>
      </c>
      <c r="K46" s="41">
        <v>22.82</v>
      </c>
      <c r="L46" s="41">
        <v>19.02</v>
      </c>
      <c r="M46" s="41">
        <v>132.26</v>
      </c>
      <c r="N46" s="29">
        <v>110.22</v>
      </c>
      <c r="O46" s="41">
        <f>P46*180/150</f>
        <v>0.024</v>
      </c>
      <c r="P46" s="45">
        <v>0.02</v>
      </c>
      <c r="Q46" s="41">
        <f>R46*180/150</f>
        <v>0.12</v>
      </c>
      <c r="R46" s="45">
        <v>0.1</v>
      </c>
      <c r="S46" s="41">
        <v>1.43</v>
      </c>
      <c r="T46" s="45">
        <v>1.2</v>
      </c>
      <c r="U46" s="41">
        <f>V46*180/150</f>
        <v>109.58399999999999</v>
      </c>
      <c r="V46" s="45">
        <v>91.32</v>
      </c>
      <c r="W46" s="41">
        <f>X46*180/150</f>
        <v>0.36</v>
      </c>
      <c r="X46" s="45">
        <v>0.3</v>
      </c>
      <c r="Y46" s="54"/>
      <c r="Z46" s="54"/>
      <c r="AA46" s="54"/>
      <c r="AB46" s="54"/>
      <c r="AC46" s="54"/>
      <c r="AD46" s="54"/>
      <c r="AE46" s="54"/>
    </row>
    <row r="47" spans="1:31" ht="15" customHeight="1">
      <c r="A47" s="22"/>
      <c r="B47" s="23" t="s">
        <v>7</v>
      </c>
      <c r="C47" s="44"/>
      <c r="D47" s="44"/>
      <c r="E47" s="17">
        <f>SUM(E44:E46)</f>
        <v>16.62</v>
      </c>
      <c r="F47" s="17">
        <f>SUM(F44:F46)</f>
        <v>13.96</v>
      </c>
      <c r="G47" s="17">
        <f aca="true" t="shared" si="6" ref="G47:T47">SUM(G44:G46)</f>
        <v>10.34</v>
      </c>
      <c r="H47" s="17">
        <f t="shared" si="6"/>
        <v>8.41</v>
      </c>
      <c r="I47" s="17">
        <f t="shared" si="6"/>
        <v>14.58</v>
      </c>
      <c r="J47" s="17">
        <f t="shared" si="6"/>
        <v>12.379999999999999</v>
      </c>
      <c r="K47" s="17">
        <f t="shared" si="6"/>
        <v>52.5</v>
      </c>
      <c r="L47" s="17">
        <f t="shared" si="6"/>
        <v>43.879999999999995</v>
      </c>
      <c r="M47" s="17">
        <f t="shared" si="6"/>
        <v>382.68</v>
      </c>
      <c r="N47" s="17">
        <f t="shared" si="6"/>
        <v>320.64</v>
      </c>
      <c r="O47" s="17">
        <f t="shared" si="6"/>
        <v>0.19399999999999998</v>
      </c>
      <c r="P47" s="17">
        <f t="shared" si="6"/>
        <v>0.1375</v>
      </c>
      <c r="Q47" s="17">
        <f t="shared" si="6"/>
        <v>0.30000000000000004</v>
      </c>
      <c r="R47" s="17">
        <f t="shared" si="6"/>
        <v>0.22500000000000003</v>
      </c>
      <c r="S47" s="17">
        <f t="shared" si="6"/>
        <v>2.33</v>
      </c>
      <c r="T47" s="17">
        <f t="shared" si="6"/>
        <v>1.87</v>
      </c>
      <c r="U47" s="17">
        <f>SUM(U44:U46)</f>
        <v>252.50399999999996</v>
      </c>
      <c r="V47" s="17">
        <f>SUM(V44:V46)</f>
        <v>196.90999999999997</v>
      </c>
      <c r="W47" s="17">
        <f>SUM(W44:W46)</f>
        <v>1.5899999999999999</v>
      </c>
      <c r="X47" s="17">
        <f>SUM(X44:X46)</f>
        <v>1.105</v>
      </c>
      <c r="Y47" s="73">
        <f>SUM(Y44:Y46)</f>
        <v>0</v>
      </c>
      <c r="Z47" s="59"/>
      <c r="AA47" s="59"/>
      <c r="AB47" s="59"/>
      <c r="AC47" s="59"/>
      <c r="AD47" s="54"/>
      <c r="AE47" s="54"/>
    </row>
    <row r="48" spans="1:31" ht="15" customHeight="1">
      <c r="A48" s="22"/>
      <c r="B48" s="93" t="s">
        <v>16</v>
      </c>
      <c r="C48" s="44"/>
      <c r="D48" s="44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42"/>
      <c r="P48" s="42"/>
      <c r="Q48" s="42"/>
      <c r="R48" s="42"/>
      <c r="S48" s="42"/>
      <c r="T48" s="42"/>
      <c r="U48" s="42"/>
      <c r="V48" s="42"/>
      <c r="W48" s="42"/>
      <c r="X48" s="76"/>
      <c r="Y48" s="55"/>
      <c r="Z48" s="54"/>
      <c r="AA48" s="54"/>
      <c r="AB48" s="54"/>
      <c r="AC48" s="54"/>
      <c r="AD48" s="54"/>
      <c r="AE48" s="54"/>
    </row>
    <row r="49" spans="1:31" s="1" customFormat="1" ht="15" customHeight="1">
      <c r="A49" s="136" t="s">
        <v>52</v>
      </c>
      <c r="B49" s="65" t="s">
        <v>63</v>
      </c>
      <c r="C49" s="66" t="s">
        <v>137</v>
      </c>
      <c r="D49" s="66" t="s">
        <v>137</v>
      </c>
      <c r="E49" s="62">
        <v>4.59</v>
      </c>
      <c r="F49" s="62">
        <v>4.59</v>
      </c>
      <c r="G49" s="67">
        <v>0</v>
      </c>
      <c r="H49" s="69">
        <v>0</v>
      </c>
      <c r="I49" s="67">
        <f>J49*180/150</f>
        <v>0</v>
      </c>
      <c r="J49" s="69">
        <v>0</v>
      </c>
      <c r="K49" s="67">
        <v>10.2</v>
      </c>
      <c r="L49" s="69">
        <v>10.2</v>
      </c>
      <c r="M49" s="67">
        <v>40.8</v>
      </c>
      <c r="N49" s="69">
        <v>40.8</v>
      </c>
      <c r="O49" s="67">
        <f>P49*180/150</f>
        <v>0</v>
      </c>
      <c r="P49" s="69">
        <v>0</v>
      </c>
      <c r="Q49" s="67">
        <f>R49*180/150</f>
        <v>0.024</v>
      </c>
      <c r="R49" s="69">
        <v>0.02</v>
      </c>
      <c r="S49" s="67">
        <v>3.4</v>
      </c>
      <c r="T49" s="69">
        <v>3.4</v>
      </c>
      <c r="U49" s="67">
        <f>V49*180/150</f>
        <v>9.996</v>
      </c>
      <c r="V49" s="69">
        <v>8.33</v>
      </c>
      <c r="W49" s="67">
        <f>X49*180/150</f>
        <v>0.252</v>
      </c>
      <c r="X49" s="108">
        <v>0.21</v>
      </c>
      <c r="Y49" s="58"/>
      <c r="Z49" s="58"/>
      <c r="AA49" s="58"/>
      <c r="AB49" s="58"/>
      <c r="AC49" s="58"/>
      <c r="AD49" s="58"/>
      <c r="AE49" s="58"/>
    </row>
    <row r="50" spans="1:31" ht="15" customHeight="1">
      <c r="A50" s="22"/>
      <c r="B50" s="23" t="s">
        <v>7</v>
      </c>
      <c r="C50" s="44"/>
      <c r="D50" s="44"/>
      <c r="E50" s="17">
        <f>SUM(E49)</f>
        <v>4.59</v>
      </c>
      <c r="F50" s="17">
        <f>SUM(F49)</f>
        <v>4.59</v>
      </c>
      <c r="G50" s="17">
        <f aca="true" t="shared" si="7" ref="G50:T50">SUM(G49)</f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10.2</v>
      </c>
      <c r="L50" s="17">
        <f t="shared" si="7"/>
        <v>10.2</v>
      </c>
      <c r="M50" s="17">
        <f t="shared" si="7"/>
        <v>40.8</v>
      </c>
      <c r="N50" s="17">
        <f t="shared" si="7"/>
        <v>40.8</v>
      </c>
      <c r="O50" s="17">
        <f t="shared" si="7"/>
        <v>0</v>
      </c>
      <c r="P50" s="17">
        <f t="shared" si="7"/>
        <v>0</v>
      </c>
      <c r="Q50" s="17">
        <f t="shared" si="7"/>
        <v>0.024</v>
      </c>
      <c r="R50" s="17">
        <f t="shared" si="7"/>
        <v>0.02</v>
      </c>
      <c r="S50" s="17">
        <f t="shared" si="7"/>
        <v>3.4</v>
      </c>
      <c r="T50" s="17">
        <f t="shared" si="7"/>
        <v>3.4</v>
      </c>
      <c r="U50" s="17">
        <f>SUM(U49)</f>
        <v>9.996</v>
      </c>
      <c r="V50" s="17">
        <f>SUM(V49)</f>
        <v>8.33</v>
      </c>
      <c r="W50" s="17">
        <f>SUM(W49)</f>
        <v>0.252</v>
      </c>
      <c r="X50" s="17">
        <f>SUM(X49)</f>
        <v>0.21</v>
      </c>
      <c r="Y50" s="73">
        <f>SUM(Y49)</f>
        <v>0</v>
      </c>
      <c r="Z50" s="59"/>
      <c r="AA50" s="59"/>
      <c r="AB50" s="59"/>
      <c r="AC50" s="59"/>
      <c r="AD50" s="54"/>
      <c r="AE50" s="54"/>
    </row>
    <row r="51" spans="1:31" ht="15" customHeight="1">
      <c r="A51" s="22"/>
      <c r="B51" s="93" t="s">
        <v>9</v>
      </c>
      <c r="C51" s="44"/>
      <c r="D51" s="44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42"/>
      <c r="P51" s="42"/>
      <c r="Q51" s="42"/>
      <c r="R51" s="42"/>
      <c r="S51" s="42"/>
      <c r="T51" s="42"/>
      <c r="U51" s="42"/>
      <c r="V51" s="42"/>
      <c r="W51" s="42"/>
      <c r="X51" s="76"/>
      <c r="Y51" s="55"/>
      <c r="Z51" s="54"/>
      <c r="AA51" s="54"/>
      <c r="AB51" s="54"/>
      <c r="AC51" s="54"/>
      <c r="AD51" s="54"/>
      <c r="AE51" s="54"/>
    </row>
    <row r="52" spans="1:31" ht="15" customHeight="1">
      <c r="A52" s="136" t="s">
        <v>109</v>
      </c>
      <c r="B52" s="65" t="s">
        <v>110</v>
      </c>
      <c r="C52" s="66" t="s">
        <v>30</v>
      </c>
      <c r="D52" s="66" t="s">
        <v>116</v>
      </c>
      <c r="E52" s="62">
        <v>1.99</v>
      </c>
      <c r="F52" s="62">
        <v>1.66</v>
      </c>
      <c r="G52" s="62">
        <f>H52*60/50</f>
        <v>0.48</v>
      </c>
      <c r="H52" s="63">
        <v>0.4</v>
      </c>
      <c r="I52" s="62">
        <f>J52*60/50</f>
        <v>6</v>
      </c>
      <c r="J52" s="63">
        <v>5</v>
      </c>
      <c r="K52" s="62">
        <f>L52*60/50</f>
        <v>5.76</v>
      </c>
      <c r="L52" s="63">
        <v>4.8</v>
      </c>
      <c r="M52" s="62">
        <f>N52*60/50</f>
        <v>78.96</v>
      </c>
      <c r="N52" s="63">
        <v>65.8</v>
      </c>
      <c r="O52" s="62">
        <v>0.04</v>
      </c>
      <c r="P52" s="63">
        <f>O52*45/60</f>
        <v>0.030000000000000002</v>
      </c>
      <c r="Q52" s="62">
        <v>0.01</v>
      </c>
      <c r="R52" s="63">
        <f>Q52*45/60</f>
        <v>0.007500000000000001</v>
      </c>
      <c r="S52" s="62">
        <f>T52*60/50</f>
        <v>3.072</v>
      </c>
      <c r="T52" s="63">
        <v>2.56</v>
      </c>
      <c r="U52" s="62">
        <v>22.19</v>
      </c>
      <c r="V52" s="63">
        <f>U52*45/60</f>
        <v>16.642500000000002</v>
      </c>
      <c r="W52" s="62">
        <v>0.66</v>
      </c>
      <c r="X52" s="63">
        <f>W52*45/60</f>
        <v>0.49500000000000005</v>
      </c>
      <c r="Z52" s="54"/>
      <c r="AA52" s="54"/>
      <c r="AB52" s="54"/>
      <c r="AC52" s="54"/>
      <c r="AD52" s="54"/>
      <c r="AE52" s="54"/>
    </row>
    <row r="53" spans="1:29" ht="29.25" customHeight="1">
      <c r="A53" s="146" t="s">
        <v>138</v>
      </c>
      <c r="B53" s="147" t="s">
        <v>139</v>
      </c>
      <c r="C53" s="148" t="s">
        <v>70</v>
      </c>
      <c r="D53" s="148" t="s">
        <v>71</v>
      </c>
      <c r="E53" s="149">
        <v>14.17</v>
      </c>
      <c r="F53" s="149">
        <v>12.98</v>
      </c>
      <c r="G53" s="131">
        <v>7.64</v>
      </c>
      <c r="H53" s="131">
        <f>G53*175/225</f>
        <v>5.942222222222222</v>
      </c>
      <c r="I53" s="131">
        <v>7.74</v>
      </c>
      <c r="J53" s="131">
        <f>I53*175/225</f>
        <v>6.02</v>
      </c>
      <c r="K53" s="131">
        <v>11.42</v>
      </c>
      <c r="L53" s="131">
        <f>K53*175/225</f>
        <v>8.882222222222222</v>
      </c>
      <c r="M53" s="131">
        <v>148</v>
      </c>
      <c r="N53" s="131">
        <f>M53*175/225</f>
        <v>115.11111111111111</v>
      </c>
      <c r="O53" s="131">
        <v>0.21</v>
      </c>
      <c r="P53" s="131">
        <f>O53*150/200</f>
        <v>0.1575</v>
      </c>
      <c r="Q53" s="131">
        <v>0.05</v>
      </c>
      <c r="R53" s="131">
        <f>Q53*150/200</f>
        <v>0.0375</v>
      </c>
      <c r="S53" s="131">
        <v>0.65</v>
      </c>
      <c r="T53" s="131">
        <f>S53*175/225</f>
        <v>0.5055555555555555</v>
      </c>
      <c r="U53" s="29"/>
      <c r="V53" s="29"/>
      <c r="W53" s="29"/>
      <c r="X53" s="29"/>
      <c r="Z53" s="54"/>
      <c r="AA53" s="54"/>
      <c r="AB53" s="54"/>
      <c r="AC53" s="54"/>
    </row>
    <row r="54" spans="1:29" s="7" customFormat="1" ht="15" customHeight="1">
      <c r="A54" s="136" t="s">
        <v>169</v>
      </c>
      <c r="B54" s="65" t="s">
        <v>170</v>
      </c>
      <c r="C54" s="66" t="s">
        <v>10</v>
      </c>
      <c r="D54" s="66" t="s">
        <v>10</v>
      </c>
      <c r="E54" s="62">
        <v>18.59</v>
      </c>
      <c r="F54" s="62">
        <v>18.59</v>
      </c>
      <c r="G54" s="62">
        <v>10</v>
      </c>
      <c r="H54" s="62">
        <v>10</v>
      </c>
      <c r="I54" s="63">
        <v>3</v>
      </c>
      <c r="J54" s="63">
        <v>3</v>
      </c>
      <c r="K54" s="63">
        <v>6</v>
      </c>
      <c r="L54" s="63">
        <v>6</v>
      </c>
      <c r="M54" s="63">
        <v>90</v>
      </c>
      <c r="N54" s="63">
        <v>90</v>
      </c>
      <c r="O54" s="63">
        <v>0.07</v>
      </c>
      <c r="P54" s="63">
        <v>0.07</v>
      </c>
      <c r="Q54" s="63">
        <v>0.09</v>
      </c>
      <c r="R54" s="63">
        <v>0.09</v>
      </c>
      <c r="S54" s="63">
        <v>0.35</v>
      </c>
      <c r="T54" s="63">
        <v>0.35</v>
      </c>
      <c r="U54" s="70">
        <v>5.85</v>
      </c>
      <c r="V54" s="70">
        <v>5.85</v>
      </c>
      <c r="W54" s="70">
        <v>0.85</v>
      </c>
      <c r="X54" s="70">
        <v>0.85</v>
      </c>
      <c r="Z54" s="77"/>
      <c r="AA54" s="77"/>
      <c r="AB54" s="77"/>
      <c r="AC54" s="77"/>
    </row>
    <row r="55" spans="1:29" s="8" customFormat="1" ht="15" customHeight="1">
      <c r="A55" s="136" t="s">
        <v>122</v>
      </c>
      <c r="B55" s="65" t="s">
        <v>123</v>
      </c>
      <c r="C55" s="66" t="s">
        <v>82</v>
      </c>
      <c r="D55" s="66" t="s">
        <v>106</v>
      </c>
      <c r="E55" s="63">
        <v>3.36</v>
      </c>
      <c r="F55" s="63">
        <v>2.59</v>
      </c>
      <c r="G55" s="63">
        <v>27.52</v>
      </c>
      <c r="H55" s="63">
        <f>G55*100/130</f>
        <v>21.16923076923077</v>
      </c>
      <c r="I55" s="63">
        <v>9.02</v>
      </c>
      <c r="J55" s="63">
        <f>I55*100/130</f>
        <v>6.938461538461539</v>
      </c>
      <c r="K55" s="63">
        <v>60.74</v>
      </c>
      <c r="L55" s="63">
        <f>K55*100/130</f>
        <v>46.723076923076924</v>
      </c>
      <c r="M55" s="134">
        <v>434.23</v>
      </c>
      <c r="N55" s="63">
        <f>M55*100/130</f>
        <v>334.0230769230769</v>
      </c>
      <c r="O55" s="134">
        <v>0.57</v>
      </c>
      <c r="P55" s="63">
        <f>O55*100/130</f>
        <v>0.4384615384615384</v>
      </c>
      <c r="Q55" s="134">
        <v>0.12</v>
      </c>
      <c r="R55" s="63">
        <f>Q55*100/130</f>
        <v>0.09230769230769231</v>
      </c>
      <c r="S55" s="134">
        <v>0</v>
      </c>
      <c r="T55" s="63">
        <f>S55*100/130</f>
        <v>0</v>
      </c>
      <c r="U55" s="134">
        <v>57.69</v>
      </c>
      <c r="V55" s="63">
        <f>U55*100/130</f>
        <v>44.37692307692308</v>
      </c>
      <c r="W55" s="41">
        <v>4.47</v>
      </c>
      <c r="X55" s="71">
        <f>W55*100/130</f>
        <v>3.4384615384615387</v>
      </c>
      <c r="Y55" s="118"/>
      <c r="Z55" s="112"/>
      <c r="AA55" s="112"/>
      <c r="AB55" s="112"/>
      <c r="AC55" s="112"/>
    </row>
    <row r="56" spans="1:33" ht="15" customHeight="1">
      <c r="A56" s="136" t="s">
        <v>128</v>
      </c>
      <c r="B56" s="141" t="s">
        <v>129</v>
      </c>
      <c r="C56" s="119" t="s">
        <v>5</v>
      </c>
      <c r="D56" s="119" t="s">
        <v>6</v>
      </c>
      <c r="E56" s="79">
        <v>2.41</v>
      </c>
      <c r="F56" s="142">
        <v>1.81</v>
      </c>
      <c r="G56" s="67">
        <v>0.2</v>
      </c>
      <c r="H56" s="69">
        <f>G56*150/200</f>
        <v>0.15</v>
      </c>
      <c r="I56" s="67">
        <v>0</v>
      </c>
      <c r="J56" s="69">
        <f>I56*150/200</f>
        <v>0</v>
      </c>
      <c r="K56" s="67">
        <v>21.6</v>
      </c>
      <c r="L56" s="69">
        <f>K56*150/200</f>
        <v>16.2</v>
      </c>
      <c r="M56" s="67">
        <v>87.2</v>
      </c>
      <c r="N56" s="69">
        <f>M56*150/200</f>
        <v>65.4</v>
      </c>
      <c r="O56" s="67">
        <v>0.01</v>
      </c>
      <c r="P56" s="63">
        <f>O56*150/200</f>
        <v>0.0075</v>
      </c>
      <c r="Q56" s="67">
        <v>0.01</v>
      </c>
      <c r="R56" s="63">
        <f>Q56*150/200</f>
        <v>0.0075</v>
      </c>
      <c r="S56" s="67">
        <v>25.8</v>
      </c>
      <c r="T56" s="63">
        <f>S56*150/200</f>
        <v>19.35</v>
      </c>
      <c r="U56" s="67">
        <v>11.5</v>
      </c>
      <c r="V56" s="63">
        <f>U56*150/200</f>
        <v>8.625</v>
      </c>
      <c r="W56" s="120">
        <v>0.48</v>
      </c>
      <c r="X56" s="71">
        <f>W56*150/200</f>
        <v>0.36</v>
      </c>
      <c r="Y56" s="55"/>
      <c r="Z56" s="54"/>
      <c r="AA56" s="54"/>
      <c r="AB56" s="54"/>
      <c r="AC56" s="54"/>
      <c r="AD56" s="54"/>
      <c r="AE56" s="54"/>
      <c r="AF56" s="54"/>
      <c r="AG56" s="54"/>
    </row>
    <row r="57" spans="1:31" s="16" customFormat="1" ht="15" customHeight="1">
      <c r="A57" s="135"/>
      <c r="B57" s="23" t="s">
        <v>11</v>
      </c>
      <c r="C57" s="44" t="s">
        <v>14</v>
      </c>
      <c r="D57" s="44" t="s">
        <v>14</v>
      </c>
      <c r="E57" s="28">
        <v>1.11</v>
      </c>
      <c r="F57" s="28">
        <v>1.11</v>
      </c>
      <c r="G57" s="28">
        <v>1.6</v>
      </c>
      <c r="H57" s="28">
        <v>1.6</v>
      </c>
      <c r="I57" s="28">
        <v>0.4</v>
      </c>
      <c r="J57" s="28">
        <v>0.4</v>
      </c>
      <c r="K57" s="28">
        <v>10</v>
      </c>
      <c r="L57" s="28">
        <v>10</v>
      </c>
      <c r="M57" s="29">
        <v>54</v>
      </c>
      <c r="N57" s="29">
        <v>54</v>
      </c>
      <c r="O57" s="43">
        <v>0.04</v>
      </c>
      <c r="P57" s="48">
        <v>0.04</v>
      </c>
      <c r="Q57" s="43">
        <v>0.02</v>
      </c>
      <c r="R57" s="48">
        <v>0.02</v>
      </c>
      <c r="S57" s="43">
        <v>0</v>
      </c>
      <c r="T57" s="48">
        <v>0</v>
      </c>
      <c r="U57" s="43">
        <v>7.4</v>
      </c>
      <c r="V57" s="48">
        <v>7.4</v>
      </c>
      <c r="W57" s="43">
        <v>0.56</v>
      </c>
      <c r="X57" s="48">
        <v>0.56</v>
      </c>
      <c r="Y57" s="57"/>
      <c r="Z57" s="57"/>
      <c r="AA57" s="57"/>
      <c r="AB57" s="57"/>
      <c r="AC57" s="57"/>
      <c r="AD57" s="57"/>
      <c r="AE57" s="57"/>
    </row>
    <row r="58" spans="1:31" ht="15" customHeight="1">
      <c r="A58" s="135"/>
      <c r="B58" s="23" t="s">
        <v>48</v>
      </c>
      <c r="C58" s="44" t="s">
        <v>83</v>
      </c>
      <c r="D58" s="44" t="s">
        <v>84</v>
      </c>
      <c r="E58" s="28">
        <v>2.09</v>
      </c>
      <c r="F58" s="28">
        <v>1.83</v>
      </c>
      <c r="G58" s="28">
        <v>3.25</v>
      </c>
      <c r="H58" s="29">
        <v>2.84</v>
      </c>
      <c r="I58" s="29">
        <v>0.46</v>
      </c>
      <c r="J58" s="29">
        <f>I58*40.6/46</f>
        <v>0.406</v>
      </c>
      <c r="K58" s="29">
        <v>20.88</v>
      </c>
      <c r="L58" s="29">
        <v>18.27</v>
      </c>
      <c r="M58" s="29">
        <v>102.08</v>
      </c>
      <c r="N58" s="29">
        <v>89.32</v>
      </c>
      <c r="O58" s="41">
        <v>0.06</v>
      </c>
      <c r="P58" s="45">
        <v>0.04</v>
      </c>
      <c r="Q58" s="41">
        <v>0.04</v>
      </c>
      <c r="R58" s="45">
        <v>0.03</v>
      </c>
      <c r="S58" s="41">
        <v>0</v>
      </c>
      <c r="T58" s="29">
        <f>S58*40.6/46</f>
        <v>0</v>
      </c>
      <c r="U58" s="43">
        <v>17</v>
      </c>
      <c r="V58" s="48">
        <v>13.6</v>
      </c>
      <c r="W58" s="43">
        <v>1.15</v>
      </c>
      <c r="X58" s="48">
        <v>0.92</v>
      </c>
      <c r="Y58" s="54"/>
      <c r="Z58" s="54"/>
      <c r="AA58" s="54"/>
      <c r="AB58" s="54"/>
      <c r="AC58" s="54"/>
      <c r="AD58" s="54"/>
      <c r="AE58" s="54"/>
    </row>
    <row r="59" spans="1:31" ht="15" customHeight="1">
      <c r="A59" s="22"/>
      <c r="B59" s="23" t="s">
        <v>7</v>
      </c>
      <c r="C59" s="44"/>
      <c r="D59" s="44"/>
      <c r="E59" s="17">
        <f>SUM(E52:E58)</f>
        <v>43.72</v>
      </c>
      <c r="F59" s="17">
        <f>SUM(F52:F58)</f>
        <v>40.57000000000001</v>
      </c>
      <c r="G59" s="17">
        <f>SUM(G52:G58)-7</f>
        <v>43.690000000000005</v>
      </c>
      <c r="H59" s="17">
        <f>SUM(H52:H58)-7</f>
        <v>35.10145299145299</v>
      </c>
      <c r="I59" s="17">
        <f aca="true" t="shared" si="8" ref="I59:T59">SUM(I52:I58)</f>
        <v>26.62</v>
      </c>
      <c r="J59" s="17">
        <f t="shared" si="8"/>
        <v>21.764461538461536</v>
      </c>
      <c r="K59" s="17">
        <f>SUM(K52:K58)+7</f>
        <v>143.4</v>
      </c>
      <c r="L59" s="17">
        <f>SUM(L52:L58)+0</f>
        <v>110.87529914529915</v>
      </c>
      <c r="M59" s="17">
        <f>SUM(M52:M58)-0</f>
        <v>994.4700000000001</v>
      </c>
      <c r="N59" s="17">
        <f>SUM(N52:N58)-65</f>
        <v>748.6541880341881</v>
      </c>
      <c r="O59" s="17">
        <f t="shared" si="8"/>
        <v>1</v>
      </c>
      <c r="P59" s="17">
        <f t="shared" si="8"/>
        <v>0.7834615384615384</v>
      </c>
      <c r="Q59" s="17">
        <f t="shared" si="8"/>
        <v>0.34</v>
      </c>
      <c r="R59" s="17">
        <f t="shared" si="8"/>
        <v>0.2848076923076923</v>
      </c>
      <c r="S59" s="17">
        <f t="shared" si="8"/>
        <v>29.872</v>
      </c>
      <c r="T59" s="17">
        <f t="shared" si="8"/>
        <v>22.765555555555558</v>
      </c>
      <c r="U59" s="17">
        <f aca="true" t="shared" si="9" ref="U59:AB59">SUM(U52:U58)</f>
        <v>121.63</v>
      </c>
      <c r="V59" s="17">
        <f t="shared" si="9"/>
        <v>96.49442307692308</v>
      </c>
      <c r="W59" s="17">
        <f t="shared" si="9"/>
        <v>8.17</v>
      </c>
      <c r="X59" s="17">
        <f t="shared" si="9"/>
        <v>6.623461538461539</v>
      </c>
      <c r="Y59" s="17">
        <f t="shared" si="9"/>
        <v>0</v>
      </c>
      <c r="Z59" s="17">
        <f t="shared" si="9"/>
        <v>0</v>
      </c>
      <c r="AA59" s="17">
        <f t="shared" si="9"/>
        <v>0</v>
      </c>
      <c r="AB59" s="17">
        <f t="shared" si="9"/>
        <v>0</v>
      </c>
      <c r="AC59" s="59"/>
      <c r="AD59" s="54"/>
      <c r="AE59" s="54"/>
    </row>
    <row r="60" spans="1:31" ht="15" customHeight="1">
      <c r="A60" s="22"/>
      <c r="B60" s="93" t="s">
        <v>17</v>
      </c>
      <c r="C60" s="44"/>
      <c r="D60" s="44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42"/>
      <c r="P60" s="42"/>
      <c r="Q60" s="42"/>
      <c r="R60" s="42"/>
      <c r="S60" s="42"/>
      <c r="T60" s="42"/>
      <c r="U60" s="42"/>
      <c r="V60" s="42"/>
      <c r="W60" s="42"/>
      <c r="X60" s="76"/>
      <c r="Y60" s="55"/>
      <c r="Z60" s="54"/>
      <c r="AA60" s="54"/>
      <c r="AB60" s="54"/>
      <c r="AC60" s="54"/>
      <c r="AD60" s="54"/>
      <c r="AE60" s="54"/>
    </row>
    <row r="61" spans="1:31" ht="15" customHeight="1">
      <c r="A61" s="135" t="s">
        <v>23</v>
      </c>
      <c r="B61" s="23" t="s">
        <v>20</v>
      </c>
      <c r="C61" s="44" t="s">
        <v>31</v>
      </c>
      <c r="D61" s="44" t="s">
        <v>31</v>
      </c>
      <c r="E61" s="28">
        <v>10.36</v>
      </c>
      <c r="F61" s="28">
        <v>10.36</v>
      </c>
      <c r="G61" s="28">
        <v>5.31</v>
      </c>
      <c r="H61" s="29">
        <v>5.31</v>
      </c>
      <c r="I61" s="28">
        <v>4.5</v>
      </c>
      <c r="J61" s="29">
        <v>4.5</v>
      </c>
      <c r="K61" s="28">
        <v>8.91</v>
      </c>
      <c r="L61" s="29">
        <v>8.91</v>
      </c>
      <c r="M61" s="28">
        <v>97.38</v>
      </c>
      <c r="N61" s="29">
        <v>97.38</v>
      </c>
      <c r="O61" s="28">
        <v>0.07</v>
      </c>
      <c r="P61" s="29">
        <v>0.07</v>
      </c>
      <c r="Q61" s="28">
        <v>0.3</v>
      </c>
      <c r="R61" s="29">
        <v>0.3</v>
      </c>
      <c r="S61" s="28">
        <v>2.46</v>
      </c>
      <c r="T61" s="29">
        <v>2.46</v>
      </c>
      <c r="U61" s="28">
        <v>275.74</v>
      </c>
      <c r="V61" s="29">
        <v>275.74</v>
      </c>
      <c r="W61" s="28">
        <v>0.23</v>
      </c>
      <c r="X61" s="29">
        <v>0.23</v>
      </c>
      <c r="Y61" s="58"/>
      <c r="Z61" s="58"/>
      <c r="AA61" s="58"/>
      <c r="AB61" s="58"/>
      <c r="AC61" s="58"/>
      <c r="AD61" s="58"/>
      <c r="AE61" s="54"/>
    </row>
    <row r="62" spans="1:31" ht="15" customHeight="1">
      <c r="A62" s="22"/>
      <c r="B62" s="23" t="s">
        <v>7</v>
      </c>
      <c r="C62" s="44"/>
      <c r="D62" s="44"/>
      <c r="E62" s="17">
        <f>SUM(E61)</f>
        <v>10.36</v>
      </c>
      <c r="F62" s="17">
        <f>SUM(F61)</f>
        <v>10.36</v>
      </c>
      <c r="G62" s="17">
        <f aca="true" t="shared" si="10" ref="G62:T62">SUM(G61)</f>
        <v>5.31</v>
      </c>
      <c r="H62" s="17">
        <f t="shared" si="10"/>
        <v>5.31</v>
      </c>
      <c r="I62" s="17">
        <f t="shared" si="10"/>
        <v>4.5</v>
      </c>
      <c r="J62" s="17">
        <f t="shared" si="10"/>
        <v>4.5</v>
      </c>
      <c r="K62" s="17">
        <f t="shared" si="10"/>
        <v>8.91</v>
      </c>
      <c r="L62" s="17">
        <f t="shared" si="10"/>
        <v>8.91</v>
      </c>
      <c r="M62" s="17">
        <f t="shared" si="10"/>
        <v>97.38</v>
      </c>
      <c r="N62" s="17">
        <f t="shared" si="10"/>
        <v>97.38</v>
      </c>
      <c r="O62" s="17">
        <f t="shared" si="10"/>
        <v>0.07</v>
      </c>
      <c r="P62" s="17">
        <f t="shared" si="10"/>
        <v>0.07</v>
      </c>
      <c r="Q62" s="17">
        <f t="shared" si="10"/>
        <v>0.3</v>
      </c>
      <c r="R62" s="17">
        <f t="shared" si="10"/>
        <v>0.3</v>
      </c>
      <c r="S62" s="17">
        <f t="shared" si="10"/>
        <v>2.46</v>
      </c>
      <c r="T62" s="17">
        <f t="shared" si="10"/>
        <v>2.46</v>
      </c>
      <c r="U62" s="17">
        <f>SUM(U61)</f>
        <v>275.74</v>
      </c>
      <c r="V62" s="17">
        <f>SUM(V61)</f>
        <v>275.74</v>
      </c>
      <c r="W62" s="17">
        <f>SUM(W61)</f>
        <v>0.23</v>
      </c>
      <c r="X62" s="17">
        <f>SUM(X61)</f>
        <v>0.23</v>
      </c>
      <c r="Y62" s="73">
        <f>SUM(Y61)</f>
        <v>0</v>
      </c>
      <c r="Z62" s="59"/>
      <c r="AA62" s="59"/>
      <c r="AB62" s="59"/>
      <c r="AC62" s="59"/>
      <c r="AD62" s="54"/>
      <c r="AE62" s="54"/>
    </row>
    <row r="63" spans="1:31" ht="15" customHeight="1">
      <c r="A63" s="22"/>
      <c r="B63" s="93" t="s">
        <v>13</v>
      </c>
      <c r="C63" s="44"/>
      <c r="D63" s="44"/>
      <c r="E63" s="28"/>
      <c r="F63" s="28"/>
      <c r="G63" s="28"/>
      <c r="H63" s="29"/>
      <c r="I63" s="29"/>
      <c r="J63" s="29"/>
      <c r="K63" s="29"/>
      <c r="L63" s="29"/>
      <c r="M63" s="29"/>
      <c r="N63" s="29"/>
      <c r="O63" s="42"/>
      <c r="P63" s="42"/>
      <c r="Q63" s="42"/>
      <c r="R63" s="42"/>
      <c r="S63" s="42"/>
      <c r="T63" s="42"/>
      <c r="U63" s="42"/>
      <c r="V63" s="42"/>
      <c r="W63" s="42"/>
      <c r="X63" s="76"/>
      <c r="Y63" s="55"/>
      <c r="Z63" s="54"/>
      <c r="AA63" s="54"/>
      <c r="AB63" s="54"/>
      <c r="AC63" s="54"/>
      <c r="AD63" s="54"/>
      <c r="AE63" s="54"/>
    </row>
    <row r="64" spans="1:33" ht="15" customHeight="1">
      <c r="A64" s="136"/>
      <c r="B64" s="65" t="s">
        <v>61</v>
      </c>
      <c r="C64" s="66" t="s">
        <v>185</v>
      </c>
      <c r="D64" s="66" t="s">
        <v>150</v>
      </c>
      <c r="E64" s="62">
        <v>11.46</v>
      </c>
      <c r="F64" s="62">
        <v>10.25</v>
      </c>
      <c r="G64" s="62">
        <f>H64*151/135</f>
        <v>0.6040000000000001</v>
      </c>
      <c r="H64" s="63">
        <v>0.54</v>
      </c>
      <c r="I64" s="62">
        <v>0</v>
      </c>
      <c r="J64" s="63">
        <v>0</v>
      </c>
      <c r="K64" s="62">
        <f>L64*151/135</f>
        <v>14.786814814814814</v>
      </c>
      <c r="L64" s="63">
        <v>13.22</v>
      </c>
      <c r="M64" s="62">
        <f>N64*151/135</f>
        <v>57.379999999999995</v>
      </c>
      <c r="N64" s="63">
        <v>51.3</v>
      </c>
      <c r="O64" s="62">
        <v>0.02</v>
      </c>
      <c r="P64" s="63">
        <v>0.02</v>
      </c>
      <c r="Q64" s="62">
        <f>R64*160/150</f>
        <v>0.05333333333333334</v>
      </c>
      <c r="R64" s="63">
        <v>0.05</v>
      </c>
      <c r="S64" s="62">
        <f>T64*151/135</f>
        <v>24.160000000000004</v>
      </c>
      <c r="T64" s="63">
        <v>21.6</v>
      </c>
      <c r="U64" s="62">
        <v>24</v>
      </c>
      <c r="V64" s="63">
        <v>24</v>
      </c>
      <c r="W64" s="62">
        <v>3.3</v>
      </c>
      <c r="X64" s="71">
        <v>3.3</v>
      </c>
      <c r="Y64" s="55"/>
      <c r="Z64" s="58"/>
      <c r="AA64" s="58"/>
      <c r="AB64" s="58"/>
      <c r="AC64" s="54"/>
      <c r="AD64" s="54"/>
      <c r="AE64" s="54"/>
      <c r="AF64" s="54"/>
      <c r="AG64" s="54"/>
    </row>
    <row r="65" spans="1:29" ht="24" customHeight="1">
      <c r="A65" s="135" t="s">
        <v>148</v>
      </c>
      <c r="B65" s="23" t="s">
        <v>149</v>
      </c>
      <c r="C65" s="44" t="s">
        <v>97</v>
      </c>
      <c r="D65" s="44" t="s">
        <v>68</v>
      </c>
      <c r="E65" s="28">
        <v>48.16</v>
      </c>
      <c r="F65" s="28">
        <v>34.51</v>
      </c>
      <c r="G65" s="28">
        <v>22.1</v>
      </c>
      <c r="H65" s="29">
        <v>18.4</v>
      </c>
      <c r="I65" s="28">
        <v>17.1</v>
      </c>
      <c r="J65" s="29">
        <v>14.3</v>
      </c>
      <c r="K65" s="28">
        <v>35.6</v>
      </c>
      <c r="L65" s="156">
        <v>29.7</v>
      </c>
      <c r="M65" s="28">
        <v>385</v>
      </c>
      <c r="N65" s="29">
        <v>321</v>
      </c>
      <c r="O65" s="28">
        <f>P65*200/150</f>
        <v>0.09333333333333335</v>
      </c>
      <c r="P65" s="29">
        <v>0.07</v>
      </c>
      <c r="Q65" s="28">
        <f>R65*200/150</f>
        <v>0.3466666666666667</v>
      </c>
      <c r="R65" s="29">
        <v>0.26</v>
      </c>
      <c r="S65" s="28">
        <v>0.48</v>
      </c>
      <c r="T65" s="29">
        <v>0.36</v>
      </c>
      <c r="U65" s="28">
        <f>V65*200/150</f>
        <v>186.8</v>
      </c>
      <c r="V65" s="29">
        <v>140.1</v>
      </c>
      <c r="W65" s="28">
        <f>X65*200/150</f>
        <v>1.3333333333333333</v>
      </c>
      <c r="X65" s="29">
        <v>1</v>
      </c>
      <c r="Z65" s="58"/>
      <c r="AA65" s="58"/>
      <c r="AB65" s="58"/>
      <c r="AC65" s="54"/>
    </row>
    <row r="66" spans="1:31" ht="15" customHeight="1">
      <c r="A66" s="136" t="s">
        <v>92</v>
      </c>
      <c r="B66" s="68" t="s">
        <v>93</v>
      </c>
      <c r="C66" s="66" t="s">
        <v>5</v>
      </c>
      <c r="D66" s="66" t="s">
        <v>6</v>
      </c>
      <c r="E66" s="62">
        <v>0.51</v>
      </c>
      <c r="F66" s="62">
        <v>0.38</v>
      </c>
      <c r="G66" s="62">
        <v>0.18</v>
      </c>
      <c r="H66" s="63">
        <v>0.13</v>
      </c>
      <c r="I66" s="62">
        <f>J66*200/150</f>
        <v>0</v>
      </c>
      <c r="J66" s="63">
        <v>0</v>
      </c>
      <c r="K66" s="62">
        <v>4.78</v>
      </c>
      <c r="L66" s="63">
        <v>3.58</v>
      </c>
      <c r="M66" s="62">
        <v>19.9</v>
      </c>
      <c r="N66" s="63">
        <v>14.92</v>
      </c>
      <c r="O66" s="62">
        <f>P66*200/150</f>
        <v>0.013333333333333334</v>
      </c>
      <c r="P66" s="70">
        <v>0.01</v>
      </c>
      <c r="Q66" s="62">
        <f>R66*200/150</f>
        <v>0.013333333333333334</v>
      </c>
      <c r="R66" s="70">
        <v>0.01</v>
      </c>
      <c r="S66" s="62">
        <v>0.04</v>
      </c>
      <c r="T66" s="70">
        <v>0.03</v>
      </c>
      <c r="U66" s="62">
        <f>V66*200/150</f>
        <v>5.053333333333334</v>
      </c>
      <c r="V66" s="70">
        <v>3.79</v>
      </c>
      <c r="W66" s="62">
        <f>X66*200/150</f>
        <v>0.84</v>
      </c>
      <c r="X66" s="124">
        <v>0.63</v>
      </c>
      <c r="Y66" s="54"/>
      <c r="Z66" s="54"/>
      <c r="AA66" s="54"/>
      <c r="AB66" s="54"/>
      <c r="AC66" s="54"/>
      <c r="AD66" s="54"/>
      <c r="AE66" s="54"/>
    </row>
    <row r="67" spans="1:31" s="16" customFormat="1" ht="15" customHeight="1">
      <c r="A67" s="135"/>
      <c r="B67" s="23" t="s">
        <v>11</v>
      </c>
      <c r="C67" s="44" t="s">
        <v>14</v>
      </c>
      <c r="D67" s="44" t="s">
        <v>14</v>
      </c>
      <c r="E67" s="28">
        <v>1.11</v>
      </c>
      <c r="F67" s="28">
        <v>1.11</v>
      </c>
      <c r="G67" s="28">
        <v>1.6</v>
      </c>
      <c r="H67" s="28">
        <v>1.6</v>
      </c>
      <c r="I67" s="28">
        <v>0.4</v>
      </c>
      <c r="J67" s="28">
        <v>0.4</v>
      </c>
      <c r="K67" s="28">
        <v>10</v>
      </c>
      <c r="L67" s="28">
        <v>10</v>
      </c>
      <c r="M67" s="29">
        <v>54</v>
      </c>
      <c r="N67" s="29">
        <v>54</v>
      </c>
      <c r="O67" s="43">
        <v>0.04</v>
      </c>
      <c r="P67" s="48">
        <v>0.04</v>
      </c>
      <c r="Q67" s="43">
        <v>0.02</v>
      </c>
      <c r="R67" s="48">
        <v>0.02</v>
      </c>
      <c r="S67" s="43">
        <v>0</v>
      </c>
      <c r="T67" s="48">
        <v>0</v>
      </c>
      <c r="U67" s="43">
        <v>7.4</v>
      </c>
      <c r="V67" s="48">
        <v>7.4</v>
      </c>
      <c r="W67" s="43">
        <v>0.56</v>
      </c>
      <c r="X67" s="48">
        <v>0.56</v>
      </c>
      <c r="Y67" s="57"/>
      <c r="Z67" s="57"/>
      <c r="AA67" s="57"/>
      <c r="AB67" s="57"/>
      <c r="AC67" s="57"/>
      <c r="AD67" s="57"/>
      <c r="AE67" s="57"/>
    </row>
    <row r="68" spans="1:31" ht="15" customHeight="1">
      <c r="A68" s="22"/>
      <c r="B68" s="23" t="s">
        <v>7</v>
      </c>
      <c r="C68" s="44"/>
      <c r="D68" s="44"/>
      <c r="E68" s="17">
        <f>SUM(E64:E67)</f>
        <v>61.239999999999995</v>
      </c>
      <c r="F68" s="17">
        <f>SUM(F64:F67)</f>
        <v>46.25</v>
      </c>
      <c r="G68" s="17">
        <f aca="true" t="shared" si="11" ref="G68:T68">SUM(G64:G67)</f>
        <v>24.484</v>
      </c>
      <c r="H68" s="17">
        <f t="shared" si="11"/>
        <v>20.669999999999998</v>
      </c>
      <c r="I68" s="17">
        <f t="shared" si="11"/>
        <v>17.5</v>
      </c>
      <c r="J68" s="17">
        <f t="shared" si="11"/>
        <v>14.700000000000001</v>
      </c>
      <c r="K68" s="17">
        <f t="shared" si="11"/>
        <v>65.16681481481481</v>
      </c>
      <c r="L68" s="17">
        <f t="shared" si="11"/>
        <v>56.5</v>
      </c>
      <c r="M68" s="17">
        <f t="shared" si="11"/>
        <v>516.28</v>
      </c>
      <c r="N68" s="17">
        <f t="shared" si="11"/>
        <v>441.22</v>
      </c>
      <c r="O68" s="17">
        <f t="shared" si="11"/>
        <v>0.16666666666666669</v>
      </c>
      <c r="P68" s="17">
        <f t="shared" si="11"/>
        <v>0.14</v>
      </c>
      <c r="Q68" s="17">
        <f t="shared" si="11"/>
        <v>0.43333333333333335</v>
      </c>
      <c r="R68" s="17">
        <f t="shared" si="11"/>
        <v>0.34</v>
      </c>
      <c r="S68" s="17">
        <f t="shared" si="11"/>
        <v>24.680000000000003</v>
      </c>
      <c r="T68" s="17">
        <f t="shared" si="11"/>
        <v>21.990000000000002</v>
      </c>
      <c r="U68" s="17">
        <f>SUM(U64:U67)</f>
        <v>223.25333333333336</v>
      </c>
      <c r="V68" s="17">
        <f>SUM(V64:V67)</f>
        <v>175.29</v>
      </c>
      <c r="W68" s="17">
        <f>SUM(W64:W67)</f>
        <v>6.033333333333333</v>
      </c>
      <c r="X68" s="73">
        <f>SUM(X64:X67)</f>
        <v>5.49</v>
      </c>
      <c r="Y68" s="64"/>
      <c r="Z68" s="59"/>
      <c r="AA68" s="59"/>
      <c r="AB68" s="59"/>
      <c r="AC68" s="59"/>
      <c r="AD68" s="54"/>
      <c r="AE68" s="54"/>
    </row>
    <row r="69" spans="1:31" ht="15" customHeight="1">
      <c r="A69" s="22"/>
      <c r="B69" s="23" t="s">
        <v>15</v>
      </c>
      <c r="C69" s="44"/>
      <c r="D69" s="44"/>
      <c r="E69" s="17">
        <f>E68+E62+E59+E50+E47</f>
        <v>136.53</v>
      </c>
      <c r="F69" s="17">
        <f>F68+F62+F59+F50+F47</f>
        <v>115.73000000000002</v>
      </c>
      <c r="G69" s="17">
        <f aca="true" t="shared" si="12" ref="G69:T69">G68+G62+G59+G50+G47</f>
        <v>83.82400000000001</v>
      </c>
      <c r="H69" s="17">
        <f t="shared" si="12"/>
        <v>69.49145299145299</v>
      </c>
      <c r="I69" s="17">
        <f t="shared" si="12"/>
        <v>63.2</v>
      </c>
      <c r="J69" s="17">
        <f t="shared" si="12"/>
        <v>53.34446153846153</v>
      </c>
      <c r="K69" s="17">
        <f t="shared" si="12"/>
        <v>280.1768148148148</v>
      </c>
      <c r="L69" s="17">
        <f t="shared" si="12"/>
        <v>230.36529914529913</v>
      </c>
      <c r="M69" s="17">
        <f t="shared" si="12"/>
        <v>2031.6100000000001</v>
      </c>
      <c r="N69" s="17">
        <f t="shared" si="12"/>
        <v>1648.6941880341883</v>
      </c>
      <c r="O69" s="17">
        <f t="shared" si="12"/>
        <v>1.4306666666666668</v>
      </c>
      <c r="P69" s="17">
        <f t="shared" si="12"/>
        <v>1.1309615384615384</v>
      </c>
      <c r="Q69" s="17">
        <f t="shared" si="12"/>
        <v>1.3973333333333335</v>
      </c>
      <c r="R69" s="17">
        <f t="shared" si="12"/>
        <v>1.1698076923076923</v>
      </c>
      <c r="S69" s="17">
        <f t="shared" si="12"/>
        <v>62.742</v>
      </c>
      <c r="T69" s="17">
        <f t="shared" si="12"/>
        <v>52.48555555555556</v>
      </c>
      <c r="U69" s="17">
        <f>U68+U62+U59+U50+U47</f>
        <v>883.1233333333332</v>
      </c>
      <c r="V69" s="17">
        <f>V68+V62+V59+V50+V47</f>
        <v>752.7644230769231</v>
      </c>
      <c r="W69" s="17">
        <f>W68+W62+W59+W50+W47</f>
        <v>16.275333333333336</v>
      </c>
      <c r="X69" s="17">
        <f>X68+X62+X59+X50+X47</f>
        <v>13.658461538461541</v>
      </c>
      <c r="Y69" s="73">
        <f>Y68+Y62+Y59+Y50+Y47</f>
        <v>0</v>
      </c>
      <c r="Z69" s="59"/>
      <c r="AA69" s="59"/>
      <c r="AB69" s="59"/>
      <c r="AC69" s="59"/>
      <c r="AD69" s="54"/>
      <c r="AE69" s="54"/>
    </row>
    <row r="70" spans="1:31" ht="15" customHeight="1">
      <c r="A70" s="22"/>
      <c r="B70" s="92" t="s">
        <v>158</v>
      </c>
      <c r="C70" s="44"/>
      <c r="D70" s="44"/>
      <c r="E70" s="17"/>
      <c r="F70" s="28"/>
      <c r="G70" s="28"/>
      <c r="H70" s="29"/>
      <c r="I70" s="29"/>
      <c r="J70" s="29"/>
      <c r="K70" s="29"/>
      <c r="L70" s="29"/>
      <c r="M70" s="29"/>
      <c r="N70" s="29"/>
      <c r="O70" s="42"/>
      <c r="P70" s="42"/>
      <c r="Q70" s="42"/>
      <c r="R70" s="42"/>
      <c r="S70" s="42"/>
      <c r="T70" s="42"/>
      <c r="U70" s="42"/>
      <c r="V70" s="42"/>
      <c r="W70" s="42"/>
      <c r="X70" s="76"/>
      <c r="Y70" s="55"/>
      <c r="Z70" s="54"/>
      <c r="AA70" s="54"/>
      <c r="AB70" s="54"/>
      <c r="AC70" s="54"/>
      <c r="AD70" s="54"/>
      <c r="AE70" s="54"/>
    </row>
    <row r="71" spans="1:31" ht="15" customHeight="1">
      <c r="A71" s="22"/>
      <c r="B71" s="93" t="s">
        <v>4</v>
      </c>
      <c r="C71" s="44"/>
      <c r="D71" s="44"/>
      <c r="E71" s="28"/>
      <c r="F71" s="28"/>
      <c r="G71" s="28"/>
      <c r="H71" s="29"/>
      <c r="I71" s="29"/>
      <c r="J71" s="29"/>
      <c r="K71" s="29"/>
      <c r="L71" s="29"/>
      <c r="M71" s="29"/>
      <c r="N71" s="29"/>
      <c r="O71" s="42"/>
      <c r="P71" s="42"/>
      <c r="Q71" s="42"/>
      <c r="R71" s="42"/>
      <c r="S71" s="42"/>
      <c r="T71" s="42"/>
      <c r="U71" s="42"/>
      <c r="V71" s="42"/>
      <c r="W71" s="42"/>
      <c r="X71" s="76"/>
      <c r="Y71" s="55"/>
      <c r="Z71" s="54"/>
      <c r="AA71" s="54"/>
      <c r="AB71" s="54"/>
      <c r="AC71" s="54"/>
      <c r="AD71" s="54"/>
      <c r="AE71" s="54"/>
    </row>
    <row r="72" spans="1:30" s="7" customFormat="1" ht="15" customHeight="1">
      <c r="A72" s="135" t="s">
        <v>53</v>
      </c>
      <c r="B72" s="23" t="s">
        <v>55</v>
      </c>
      <c r="C72" s="44" t="s">
        <v>91</v>
      </c>
      <c r="D72" s="44" t="s">
        <v>91</v>
      </c>
      <c r="E72" s="28">
        <v>4.03</v>
      </c>
      <c r="F72" s="28">
        <v>4.03</v>
      </c>
      <c r="G72" s="28">
        <v>1.63</v>
      </c>
      <c r="H72" s="29">
        <v>1.63</v>
      </c>
      <c r="I72" s="29">
        <v>4.7</v>
      </c>
      <c r="J72" s="29">
        <v>4.7</v>
      </c>
      <c r="K72" s="29">
        <v>10.4</v>
      </c>
      <c r="L72" s="29">
        <v>10.4</v>
      </c>
      <c r="M72" s="29">
        <v>90.42</v>
      </c>
      <c r="N72" s="29">
        <v>90.42</v>
      </c>
      <c r="O72" s="41">
        <v>0.08</v>
      </c>
      <c r="P72" s="45">
        <v>0.05</v>
      </c>
      <c r="Q72" s="41">
        <v>0.04</v>
      </c>
      <c r="R72" s="45">
        <v>0.02</v>
      </c>
      <c r="S72" s="41">
        <v>0</v>
      </c>
      <c r="T72" s="29">
        <f>S72*25/45</f>
        <v>0</v>
      </c>
      <c r="U72" s="43">
        <v>13.6</v>
      </c>
      <c r="V72" s="48">
        <v>8.6</v>
      </c>
      <c r="W72" s="43">
        <v>0.81</v>
      </c>
      <c r="X72" s="48">
        <v>0.49</v>
      </c>
      <c r="Y72" s="77"/>
      <c r="Z72" s="77"/>
      <c r="AA72" s="77"/>
      <c r="AB72" s="77"/>
      <c r="AC72" s="77"/>
      <c r="AD72" s="77"/>
    </row>
    <row r="73" spans="1:31" ht="24.75" customHeight="1">
      <c r="A73" s="136" t="s">
        <v>56</v>
      </c>
      <c r="B73" s="65" t="s">
        <v>81</v>
      </c>
      <c r="C73" s="119" t="s">
        <v>98</v>
      </c>
      <c r="D73" s="119" t="s">
        <v>99</v>
      </c>
      <c r="E73" s="79">
        <v>12.03</v>
      </c>
      <c r="F73" s="79">
        <v>9.4</v>
      </c>
      <c r="G73" s="79">
        <v>3.1</v>
      </c>
      <c r="H73" s="79">
        <v>2.4</v>
      </c>
      <c r="I73" s="79">
        <v>5</v>
      </c>
      <c r="J73" s="79">
        <v>3.8</v>
      </c>
      <c r="K73" s="79">
        <v>21.1</v>
      </c>
      <c r="L73" s="79">
        <v>16</v>
      </c>
      <c r="M73" s="79">
        <v>140</v>
      </c>
      <c r="N73" s="79">
        <v>107.8</v>
      </c>
      <c r="O73" s="131">
        <v>0.1</v>
      </c>
      <c r="P73" s="132">
        <f>O73*150/200</f>
        <v>0.075</v>
      </c>
      <c r="Q73" s="131">
        <v>0.25</v>
      </c>
      <c r="R73" s="132">
        <f>Q73*150/200</f>
        <v>0.1875</v>
      </c>
      <c r="S73" s="131">
        <v>0</v>
      </c>
      <c r="T73" s="79">
        <f>S73*153/203</f>
        <v>0</v>
      </c>
      <c r="U73" s="67">
        <v>175.2</v>
      </c>
      <c r="V73" s="63">
        <v>164.9</v>
      </c>
      <c r="W73" s="67">
        <v>0.9</v>
      </c>
      <c r="X73" s="84">
        <f>W73*150/200</f>
        <v>0.675</v>
      </c>
      <c r="Y73" s="54"/>
      <c r="Z73" s="54"/>
      <c r="AA73" s="54"/>
      <c r="AB73" s="54"/>
      <c r="AC73" s="54"/>
      <c r="AD73" s="54"/>
      <c r="AE73" s="54"/>
    </row>
    <row r="74" spans="1:31" ht="15.75" customHeight="1">
      <c r="A74" s="135" t="s">
        <v>51</v>
      </c>
      <c r="B74" s="23" t="s">
        <v>54</v>
      </c>
      <c r="C74" s="44" t="s">
        <v>31</v>
      </c>
      <c r="D74" s="44" t="s">
        <v>6</v>
      </c>
      <c r="E74" s="28">
        <v>5.92</v>
      </c>
      <c r="F74" s="28">
        <v>4.78</v>
      </c>
      <c r="G74" s="28">
        <v>2.85</v>
      </c>
      <c r="H74" s="29">
        <v>2.34</v>
      </c>
      <c r="I74" s="28">
        <v>2.41</v>
      </c>
      <c r="J74" s="29">
        <v>2</v>
      </c>
      <c r="K74" s="28">
        <v>14.36</v>
      </c>
      <c r="L74" s="29">
        <v>10.63</v>
      </c>
      <c r="M74" s="28">
        <v>91</v>
      </c>
      <c r="N74" s="29">
        <v>70</v>
      </c>
      <c r="O74" s="28">
        <f>P74*180/150</f>
        <v>0.012</v>
      </c>
      <c r="P74" s="45">
        <v>0.01</v>
      </c>
      <c r="Q74" s="28">
        <f>R74*180/150</f>
        <v>0.084</v>
      </c>
      <c r="R74" s="45">
        <v>0.07</v>
      </c>
      <c r="S74" s="28">
        <v>1.17</v>
      </c>
      <c r="T74" s="29">
        <f>S74*150/180</f>
        <v>0.975</v>
      </c>
      <c r="U74" s="28">
        <f>V74*180/150</f>
        <v>57.516</v>
      </c>
      <c r="V74" s="45">
        <v>47.93</v>
      </c>
      <c r="W74" s="28">
        <f>X74*180/150</f>
        <v>0.264</v>
      </c>
      <c r="X74" s="45">
        <v>0.22</v>
      </c>
      <c r="Y74" s="54"/>
      <c r="Z74" s="54"/>
      <c r="AA74" s="54"/>
      <c r="AB74" s="54"/>
      <c r="AC74" s="54"/>
      <c r="AD74" s="54"/>
      <c r="AE74" s="54"/>
    </row>
    <row r="75" spans="1:31" ht="15" customHeight="1">
      <c r="A75" s="22"/>
      <c r="B75" s="23" t="s">
        <v>7</v>
      </c>
      <c r="C75" s="44"/>
      <c r="D75" s="44"/>
      <c r="E75" s="17">
        <f>SUM(E72:E74)</f>
        <v>21.979999999999997</v>
      </c>
      <c r="F75" s="17">
        <f>SUM(F72:F74)</f>
        <v>18.21</v>
      </c>
      <c r="G75" s="17">
        <f aca="true" t="shared" si="13" ref="G75:T75">SUM(G72:G74)</f>
        <v>7.58</v>
      </c>
      <c r="H75" s="17">
        <f t="shared" si="13"/>
        <v>6.369999999999999</v>
      </c>
      <c r="I75" s="17">
        <f t="shared" si="13"/>
        <v>12.11</v>
      </c>
      <c r="J75" s="17">
        <f t="shared" si="13"/>
        <v>10.5</v>
      </c>
      <c r="K75" s="17">
        <f t="shared" si="13"/>
        <v>45.86</v>
      </c>
      <c r="L75" s="17">
        <f t="shared" si="13"/>
        <v>37.03</v>
      </c>
      <c r="M75" s="17">
        <f t="shared" si="13"/>
        <v>321.42</v>
      </c>
      <c r="N75" s="17">
        <f t="shared" si="13"/>
        <v>268.22</v>
      </c>
      <c r="O75" s="17">
        <f t="shared" si="13"/>
        <v>0.192</v>
      </c>
      <c r="P75" s="17">
        <f t="shared" si="13"/>
        <v>0.135</v>
      </c>
      <c r="Q75" s="17">
        <f t="shared" si="13"/>
        <v>0.374</v>
      </c>
      <c r="R75" s="17">
        <f t="shared" si="13"/>
        <v>0.27749999999999997</v>
      </c>
      <c r="S75" s="17">
        <f t="shared" si="13"/>
        <v>1.17</v>
      </c>
      <c r="T75" s="17">
        <f t="shared" si="13"/>
        <v>0.975</v>
      </c>
      <c r="U75" s="17">
        <f aca="true" t="shared" si="14" ref="U75:AB75">SUM(U72:U74)</f>
        <v>246.31599999999997</v>
      </c>
      <c r="V75" s="17">
        <f t="shared" si="14"/>
        <v>221.43</v>
      </c>
      <c r="W75" s="17">
        <f t="shared" si="14"/>
        <v>1.974</v>
      </c>
      <c r="X75" s="17">
        <f t="shared" si="14"/>
        <v>1.385</v>
      </c>
      <c r="Y75" s="17">
        <f t="shared" si="14"/>
        <v>0</v>
      </c>
      <c r="Z75" s="17">
        <f t="shared" si="14"/>
        <v>0</v>
      </c>
      <c r="AA75" s="17">
        <f t="shared" si="14"/>
        <v>0</v>
      </c>
      <c r="AB75" s="17">
        <f t="shared" si="14"/>
        <v>0</v>
      </c>
      <c r="AC75" s="59"/>
      <c r="AD75" s="59"/>
      <c r="AE75" s="54"/>
    </row>
    <row r="76" spans="1:31" ht="15" customHeight="1">
      <c r="A76" s="22"/>
      <c r="B76" s="93" t="s">
        <v>16</v>
      </c>
      <c r="C76" s="44"/>
      <c r="D76" s="44"/>
      <c r="E76" s="28"/>
      <c r="F76" s="28"/>
      <c r="G76" s="28"/>
      <c r="H76" s="29"/>
      <c r="I76" s="29"/>
      <c r="J76" s="29"/>
      <c r="K76" s="29"/>
      <c r="L76" s="29"/>
      <c r="M76" s="29"/>
      <c r="N76" s="29"/>
      <c r="O76" s="42"/>
      <c r="P76" s="42"/>
      <c r="Q76" s="42"/>
      <c r="R76" s="42"/>
      <c r="S76" s="42"/>
      <c r="T76" s="42"/>
      <c r="U76" s="42"/>
      <c r="V76" s="42"/>
      <c r="W76" s="42"/>
      <c r="X76" s="76"/>
      <c r="Y76" s="55"/>
      <c r="Z76" s="54"/>
      <c r="AA76" s="54"/>
      <c r="AB76" s="54"/>
      <c r="AC76" s="54"/>
      <c r="AD76" s="54"/>
      <c r="AE76" s="54"/>
    </row>
    <row r="77" spans="1:30" ht="15" customHeight="1">
      <c r="A77" s="136" t="s">
        <v>25</v>
      </c>
      <c r="B77" s="65" t="s">
        <v>79</v>
      </c>
      <c r="C77" s="66" t="s">
        <v>6</v>
      </c>
      <c r="D77" s="66" t="s">
        <v>150</v>
      </c>
      <c r="E77" s="62">
        <v>12.36</v>
      </c>
      <c r="F77" s="62">
        <v>11.12</v>
      </c>
      <c r="G77" s="67">
        <f>H77*150/135</f>
        <v>4.5</v>
      </c>
      <c r="H77" s="67">
        <v>4.05</v>
      </c>
      <c r="I77" s="67">
        <f>J77*150/135</f>
        <v>3.7555555555555555</v>
      </c>
      <c r="J77" s="67">
        <v>3.38</v>
      </c>
      <c r="K77" s="67">
        <f>L77*150/135</f>
        <v>6</v>
      </c>
      <c r="L77" s="67">
        <v>5.4</v>
      </c>
      <c r="M77" s="67">
        <f>N77*150/135</f>
        <v>75.75555555555557</v>
      </c>
      <c r="N77" s="67">
        <v>68.18</v>
      </c>
      <c r="O77" s="67">
        <f>P77*180/150</f>
        <v>0.06</v>
      </c>
      <c r="P77" s="67">
        <v>0.05</v>
      </c>
      <c r="Q77" s="67">
        <f>R77*180/150</f>
        <v>0.31200000000000006</v>
      </c>
      <c r="R77" s="67">
        <v>0.26</v>
      </c>
      <c r="S77" s="67">
        <f>T77*150/135</f>
        <v>1.1</v>
      </c>
      <c r="T77" s="67">
        <v>0.99</v>
      </c>
      <c r="U77" s="28">
        <v>235.31</v>
      </c>
      <c r="V77" s="29">
        <f>U77*150/180</f>
        <v>196.09166666666667</v>
      </c>
      <c r="W77" s="28">
        <v>0.19</v>
      </c>
      <c r="X77" s="75">
        <f>W77*150/180</f>
        <v>0.15833333333333333</v>
      </c>
      <c r="Y77" s="60"/>
      <c r="Z77" s="58"/>
      <c r="AA77" s="58"/>
      <c r="AB77" s="58"/>
      <c r="AC77" s="58"/>
      <c r="AD77" s="58"/>
    </row>
    <row r="78" spans="1:31" ht="15" customHeight="1">
      <c r="A78" s="22"/>
      <c r="B78" s="23" t="s">
        <v>7</v>
      </c>
      <c r="C78" s="44"/>
      <c r="D78" s="44"/>
      <c r="E78" s="17">
        <f>SUM(E77)</f>
        <v>12.36</v>
      </c>
      <c r="F78" s="17">
        <f>SUM(F77)</f>
        <v>11.12</v>
      </c>
      <c r="G78" s="17">
        <f aca="true" t="shared" si="15" ref="G78:T78">SUM(G77)</f>
        <v>4.5</v>
      </c>
      <c r="H78" s="17">
        <f t="shared" si="15"/>
        <v>4.05</v>
      </c>
      <c r="I78" s="17">
        <f t="shared" si="15"/>
        <v>3.7555555555555555</v>
      </c>
      <c r="J78" s="17">
        <f t="shared" si="15"/>
        <v>3.38</v>
      </c>
      <c r="K78" s="17">
        <f t="shared" si="15"/>
        <v>6</v>
      </c>
      <c r="L78" s="17">
        <f t="shared" si="15"/>
        <v>5.4</v>
      </c>
      <c r="M78" s="17">
        <f t="shared" si="15"/>
        <v>75.75555555555557</v>
      </c>
      <c r="N78" s="17">
        <f t="shared" si="15"/>
        <v>68.18</v>
      </c>
      <c r="O78" s="17">
        <f t="shared" si="15"/>
        <v>0.06</v>
      </c>
      <c r="P78" s="17">
        <f t="shared" si="15"/>
        <v>0.05</v>
      </c>
      <c r="Q78" s="17">
        <f t="shared" si="15"/>
        <v>0.31200000000000006</v>
      </c>
      <c r="R78" s="17">
        <f t="shared" si="15"/>
        <v>0.26</v>
      </c>
      <c r="S78" s="17">
        <f t="shared" si="15"/>
        <v>1.1</v>
      </c>
      <c r="T78" s="17">
        <f t="shared" si="15"/>
        <v>0.99</v>
      </c>
      <c r="U78" s="17">
        <f>SUM(U77)</f>
        <v>235.31</v>
      </c>
      <c r="V78" s="17">
        <f>SUM(V77)</f>
        <v>196.09166666666667</v>
      </c>
      <c r="W78" s="17">
        <f>SUM(W77)</f>
        <v>0.19</v>
      </c>
      <c r="X78" s="17">
        <f>SUM(X77)</f>
        <v>0.15833333333333333</v>
      </c>
      <c r="Y78" s="73">
        <f>SUM(Y77)</f>
        <v>0</v>
      </c>
      <c r="Z78" s="59"/>
      <c r="AA78" s="59"/>
      <c r="AB78" s="59"/>
      <c r="AC78" s="59"/>
      <c r="AD78" s="54"/>
      <c r="AE78" s="54"/>
    </row>
    <row r="79" spans="1:31" ht="15" customHeight="1">
      <c r="A79" s="22"/>
      <c r="B79" s="93" t="s">
        <v>9</v>
      </c>
      <c r="C79" s="44"/>
      <c r="D79" s="44"/>
      <c r="E79" s="28"/>
      <c r="F79" s="28"/>
      <c r="G79" s="28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75"/>
      <c r="Y79" s="60"/>
      <c r="Z79" s="58"/>
      <c r="AA79" s="58"/>
      <c r="AB79" s="58"/>
      <c r="AC79" s="58"/>
      <c r="AD79" s="54"/>
      <c r="AE79" s="54"/>
    </row>
    <row r="80" spans="1:24" ht="12.75">
      <c r="A80" s="144" t="s">
        <v>135</v>
      </c>
      <c r="B80" s="23" t="s">
        <v>136</v>
      </c>
      <c r="C80" s="44" t="s">
        <v>30</v>
      </c>
      <c r="D80" s="44" t="s">
        <v>116</v>
      </c>
      <c r="E80" s="28">
        <v>1.34</v>
      </c>
      <c r="F80" s="28">
        <v>1.12</v>
      </c>
      <c r="G80" s="145">
        <v>0.6</v>
      </c>
      <c r="H80" s="87">
        <f>G80*50/60</f>
        <v>0.5</v>
      </c>
      <c r="I80" s="145">
        <v>3.6</v>
      </c>
      <c r="J80" s="87">
        <f>I80*50/60</f>
        <v>3</v>
      </c>
      <c r="K80" s="145">
        <v>4.8</v>
      </c>
      <c r="L80" s="87">
        <f>K80*50/60</f>
        <v>4</v>
      </c>
      <c r="M80" s="145">
        <v>54</v>
      </c>
      <c r="N80" s="87">
        <f>M80*50/60</f>
        <v>45</v>
      </c>
      <c r="O80" s="145">
        <v>0.01</v>
      </c>
      <c r="P80" s="87">
        <v>0</v>
      </c>
      <c r="Q80" s="145">
        <v>0.02</v>
      </c>
      <c r="R80" s="87">
        <v>0</v>
      </c>
      <c r="S80" s="145">
        <v>5.17</v>
      </c>
      <c r="T80" s="87">
        <f>S80*50/60</f>
        <v>4.308333333333334</v>
      </c>
      <c r="U80" s="145">
        <v>20.69</v>
      </c>
      <c r="V80" s="87">
        <v>0</v>
      </c>
      <c r="W80" s="145">
        <v>0.78</v>
      </c>
      <c r="X80" s="87">
        <v>0</v>
      </c>
    </row>
    <row r="81" spans="1:33" s="7" customFormat="1" ht="25.5">
      <c r="A81" s="136" t="s">
        <v>124</v>
      </c>
      <c r="B81" s="68" t="s">
        <v>181</v>
      </c>
      <c r="C81" s="66" t="s">
        <v>111</v>
      </c>
      <c r="D81" s="66" t="s">
        <v>112</v>
      </c>
      <c r="E81" s="62">
        <v>6.4</v>
      </c>
      <c r="F81" s="62">
        <v>5.25</v>
      </c>
      <c r="G81" s="67">
        <v>1.88</v>
      </c>
      <c r="H81" s="67">
        <v>1.48</v>
      </c>
      <c r="I81" s="67">
        <v>4.94</v>
      </c>
      <c r="J81" s="67">
        <v>4.08</v>
      </c>
      <c r="K81" s="67">
        <v>8.32</v>
      </c>
      <c r="L81" s="67">
        <v>6.32</v>
      </c>
      <c r="M81" s="67">
        <v>85.26</v>
      </c>
      <c r="N81" s="67">
        <v>67.92</v>
      </c>
      <c r="O81" s="63">
        <v>0.09</v>
      </c>
      <c r="P81" s="67">
        <f>O81*170/220</f>
        <v>0.06954545454545454</v>
      </c>
      <c r="Q81" s="63">
        <v>0.1</v>
      </c>
      <c r="R81" s="67">
        <f>Q81*170/220</f>
        <v>0.07727272727272727</v>
      </c>
      <c r="S81" s="63">
        <v>14.83</v>
      </c>
      <c r="T81" s="67">
        <v>11.13</v>
      </c>
      <c r="U81" s="63">
        <v>37.33</v>
      </c>
      <c r="V81" s="67">
        <f>U81*170/220</f>
        <v>28.84590909090909</v>
      </c>
      <c r="W81" s="63">
        <v>1.39</v>
      </c>
      <c r="X81" s="162">
        <f>W81*170/220</f>
        <v>1.074090909090909</v>
      </c>
      <c r="Y81" s="77"/>
      <c r="Z81" s="77"/>
      <c r="AA81" s="77"/>
      <c r="AB81" s="77"/>
      <c r="AC81" s="77"/>
      <c r="AD81" s="77"/>
      <c r="AE81" s="77"/>
      <c r="AF81" s="77"/>
      <c r="AG81" s="77"/>
    </row>
    <row r="82" spans="1:29" ht="23.25" customHeight="1">
      <c r="A82" s="157" t="s">
        <v>164</v>
      </c>
      <c r="B82" s="68" t="s">
        <v>165</v>
      </c>
      <c r="C82" s="66" t="s">
        <v>80</v>
      </c>
      <c r="D82" s="66" t="s">
        <v>166</v>
      </c>
      <c r="E82" s="62">
        <v>23.91</v>
      </c>
      <c r="F82" s="62">
        <v>21.91</v>
      </c>
      <c r="G82" s="67">
        <v>37.56</v>
      </c>
      <c r="H82" s="67">
        <f>G82*150/200</f>
        <v>28.17</v>
      </c>
      <c r="I82" s="67">
        <v>15.5</v>
      </c>
      <c r="J82" s="67">
        <v>11.62</v>
      </c>
      <c r="K82" s="67">
        <v>58.98</v>
      </c>
      <c r="L82" s="67">
        <v>44.23</v>
      </c>
      <c r="M82" s="67">
        <v>525.4</v>
      </c>
      <c r="N82" s="120">
        <v>394.05</v>
      </c>
      <c r="O82" s="111">
        <v>0.36</v>
      </c>
      <c r="P82" s="111">
        <v>0.11</v>
      </c>
      <c r="Q82" s="111">
        <v>0.14</v>
      </c>
      <c r="R82" s="111">
        <v>0.09</v>
      </c>
      <c r="S82" s="111">
        <v>0.51</v>
      </c>
      <c r="T82" s="111">
        <v>0.38</v>
      </c>
      <c r="U82" s="111">
        <v>55.04</v>
      </c>
      <c r="V82" s="111">
        <v>24.71</v>
      </c>
      <c r="W82" s="63">
        <v>1.5</v>
      </c>
      <c r="X82" s="111">
        <v>1.27</v>
      </c>
      <c r="Y82" s="1"/>
      <c r="Z82" s="54"/>
      <c r="AA82" s="54"/>
      <c r="AB82" s="54"/>
      <c r="AC82" s="54"/>
    </row>
    <row r="83" spans="1:31" ht="27" customHeight="1">
      <c r="A83" s="135" t="s">
        <v>125</v>
      </c>
      <c r="B83" s="23" t="s">
        <v>126</v>
      </c>
      <c r="C83" s="44" t="s">
        <v>5</v>
      </c>
      <c r="D83" s="44" t="s">
        <v>6</v>
      </c>
      <c r="E83" s="28">
        <v>3.1</v>
      </c>
      <c r="F83" s="28">
        <v>2.33</v>
      </c>
      <c r="G83" s="41">
        <v>0.6</v>
      </c>
      <c r="H83" s="45">
        <v>0.45</v>
      </c>
      <c r="I83" s="41">
        <f>J83*200/150</f>
        <v>0</v>
      </c>
      <c r="J83" s="45">
        <v>0</v>
      </c>
      <c r="K83" s="41">
        <v>29</v>
      </c>
      <c r="L83" s="45">
        <v>21.75</v>
      </c>
      <c r="M83" s="41">
        <v>116</v>
      </c>
      <c r="N83" s="45">
        <v>87</v>
      </c>
      <c r="O83" s="29">
        <v>0.02</v>
      </c>
      <c r="P83" s="29">
        <f>O83*150/200</f>
        <v>0.015</v>
      </c>
      <c r="Q83" s="29">
        <v>0.01</v>
      </c>
      <c r="R83" s="29">
        <f>Q83*150/200</f>
        <v>0.0075</v>
      </c>
      <c r="S83" s="29">
        <v>0</v>
      </c>
      <c r="T83" s="63">
        <v>0</v>
      </c>
      <c r="U83" s="63">
        <v>12.3</v>
      </c>
      <c r="V83" s="63">
        <f>U83*150/200</f>
        <v>9.225</v>
      </c>
      <c r="W83" s="71">
        <v>2</v>
      </c>
      <c r="X83" s="84">
        <f>W83*150/200</f>
        <v>1.5</v>
      </c>
      <c r="Y83" s="54"/>
      <c r="Z83" s="54"/>
      <c r="AA83" s="54"/>
      <c r="AB83" s="54"/>
      <c r="AC83" s="54"/>
      <c r="AD83" s="54"/>
      <c r="AE83" s="54"/>
    </row>
    <row r="84" spans="1:31" s="16" customFormat="1" ht="15" customHeight="1">
      <c r="A84" s="135"/>
      <c r="B84" s="23" t="s">
        <v>11</v>
      </c>
      <c r="C84" s="44" t="s">
        <v>14</v>
      </c>
      <c r="D84" s="44" t="s">
        <v>14</v>
      </c>
      <c r="E84" s="28">
        <v>1.11</v>
      </c>
      <c r="F84" s="28">
        <v>1.11</v>
      </c>
      <c r="G84" s="28">
        <v>1.6</v>
      </c>
      <c r="H84" s="28">
        <v>1.6</v>
      </c>
      <c r="I84" s="28">
        <v>0.4</v>
      </c>
      <c r="J84" s="28">
        <v>0.4</v>
      </c>
      <c r="K84" s="28">
        <v>10</v>
      </c>
      <c r="L84" s="28">
        <v>10</v>
      </c>
      <c r="M84" s="29">
        <v>54</v>
      </c>
      <c r="N84" s="29">
        <v>54</v>
      </c>
      <c r="O84" s="43">
        <v>0.04</v>
      </c>
      <c r="P84" s="48">
        <v>0.04</v>
      </c>
      <c r="Q84" s="43">
        <v>0.02</v>
      </c>
      <c r="R84" s="48">
        <v>0.02</v>
      </c>
      <c r="S84" s="43">
        <v>0</v>
      </c>
      <c r="T84" s="48">
        <v>0</v>
      </c>
      <c r="U84" s="43">
        <v>7.4</v>
      </c>
      <c r="V84" s="48">
        <v>7.4</v>
      </c>
      <c r="W84" s="43">
        <v>0.56</v>
      </c>
      <c r="X84" s="48">
        <v>0.56</v>
      </c>
      <c r="Y84" s="57"/>
      <c r="Z84" s="57"/>
      <c r="AA84" s="57"/>
      <c r="AB84" s="57"/>
      <c r="AC84" s="57"/>
      <c r="AD84" s="57"/>
      <c r="AE84" s="57"/>
    </row>
    <row r="85" spans="1:31" ht="15" customHeight="1">
      <c r="A85" s="135"/>
      <c r="B85" s="23" t="s">
        <v>48</v>
      </c>
      <c r="C85" s="44" t="s">
        <v>83</v>
      </c>
      <c r="D85" s="44" t="s">
        <v>84</v>
      </c>
      <c r="E85" s="28">
        <v>2.09</v>
      </c>
      <c r="F85" s="28">
        <v>1.83</v>
      </c>
      <c r="G85" s="28">
        <v>3.25</v>
      </c>
      <c r="H85" s="29">
        <v>2.84</v>
      </c>
      <c r="I85" s="29">
        <v>0.46</v>
      </c>
      <c r="J85" s="29">
        <f>I85*40.6/46</f>
        <v>0.406</v>
      </c>
      <c r="K85" s="29">
        <v>20.88</v>
      </c>
      <c r="L85" s="29">
        <v>18.27</v>
      </c>
      <c r="M85" s="29">
        <v>102.08</v>
      </c>
      <c r="N85" s="29">
        <v>89.32</v>
      </c>
      <c r="O85" s="41">
        <v>0.06</v>
      </c>
      <c r="P85" s="45">
        <v>0.04</v>
      </c>
      <c r="Q85" s="41">
        <v>0.04</v>
      </c>
      <c r="R85" s="45">
        <v>0.03</v>
      </c>
      <c r="S85" s="41">
        <v>0</v>
      </c>
      <c r="T85" s="29">
        <f>S85*40.6/46</f>
        <v>0</v>
      </c>
      <c r="U85" s="43">
        <v>17</v>
      </c>
      <c r="V85" s="48">
        <v>13.6</v>
      </c>
      <c r="W85" s="43">
        <v>1.15</v>
      </c>
      <c r="X85" s="48">
        <v>0.92</v>
      </c>
      <c r="Y85" s="54"/>
      <c r="Z85" s="54"/>
      <c r="AA85" s="54"/>
      <c r="AB85" s="54"/>
      <c r="AC85" s="54"/>
      <c r="AD85" s="54"/>
      <c r="AE85" s="54"/>
    </row>
    <row r="86" spans="1:31" ht="15" customHeight="1">
      <c r="A86" s="22"/>
      <c r="B86" s="23" t="s">
        <v>7</v>
      </c>
      <c r="C86" s="44"/>
      <c r="D86" s="44"/>
      <c r="E86" s="17">
        <f>SUM(E80:E85)</f>
        <v>37.95</v>
      </c>
      <c r="F86" s="17">
        <f>SUM(F80:F85)</f>
        <v>33.55</v>
      </c>
      <c r="G86" s="17">
        <f>SUM(G80:G85)-7</f>
        <v>38.49</v>
      </c>
      <c r="H86" s="17">
        <f>SUM(H80:H85)-6.5</f>
        <v>28.540000000000006</v>
      </c>
      <c r="I86" s="17">
        <f aca="true" t="shared" si="16" ref="I86:T86">SUM(I80:I85)</f>
        <v>24.9</v>
      </c>
      <c r="J86" s="17">
        <f t="shared" si="16"/>
        <v>19.505999999999997</v>
      </c>
      <c r="K86" s="17">
        <f>SUM(K80:K85)+7</f>
        <v>138.98</v>
      </c>
      <c r="L86" s="17">
        <f>SUM(L80:L85)+0</f>
        <v>104.57</v>
      </c>
      <c r="M86" s="17">
        <f>SUM(M80:M85)-0</f>
        <v>936.74</v>
      </c>
      <c r="N86" s="17">
        <f>SUM(N80:N85)-65</f>
        <v>672.29</v>
      </c>
      <c r="O86" s="17">
        <f t="shared" si="16"/>
        <v>0.5800000000000001</v>
      </c>
      <c r="P86" s="17">
        <f t="shared" si="16"/>
        <v>0.27454545454545454</v>
      </c>
      <c r="Q86" s="17">
        <f t="shared" si="16"/>
        <v>0.33</v>
      </c>
      <c r="R86" s="17">
        <f t="shared" si="16"/>
        <v>0.22477272727272726</v>
      </c>
      <c r="S86" s="17">
        <f t="shared" si="16"/>
        <v>20.51</v>
      </c>
      <c r="T86" s="17">
        <f t="shared" si="16"/>
        <v>15.818333333333335</v>
      </c>
      <c r="U86" s="17">
        <f>SUM(U80:U85)</f>
        <v>149.76</v>
      </c>
      <c r="V86" s="17">
        <f>SUM(V80:V85)</f>
        <v>83.78090909090909</v>
      </c>
      <c r="W86" s="17">
        <f>SUM(W80:W85)-2</f>
        <v>5.380000000000001</v>
      </c>
      <c r="X86" s="73">
        <f>SUM(X80:X85)-2</f>
        <v>3.324090909090909</v>
      </c>
      <c r="Y86" s="64"/>
      <c r="Z86" s="59"/>
      <c r="AA86" s="59"/>
      <c r="AB86" s="59"/>
      <c r="AC86" s="59"/>
      <c r="AD86" s="54"/>
      <c r="AE86" s="54"/>
    </row>
    <row r="87" spans="1:31" ht="15" customHeight="1">
      <c r="A87" s="22"/>
      <c r="B87" s="93" t="s">
        <v>17</v>
      </c>
      <c r="C87" s="44"/>
      <c r="D87" s="44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42"/>
      <c r="P87" s="42"/>
      <c r="Q87" s="42"/>
      <c r="R87" s="42"/>
      <c r="S87" s="42"/>
      <c r="T87" s="42"/>
      <c r="U87" s="42"/>
      <c r="V87" s="42"/>
      <c r="W87" s="42"/>
      <c r="X87" s="76"/>
      <c r="Y87" s="55"/>
      <c r="Z87" s="54"/>
      <c r="AA87" s="54"/>
      <c r="AB87" s="54"/>
      <c r="AC87" s="54"/>
      <c r="AD87" s="54"/>
      <c r="AE87" s="54"/>
    </row>
    <row r="88" spans="1:30" ht="26.25" customHeight="1">
      <c r="A88" s="135" t="s">
        <v>23</v>
      </c>
      <c r="B88" s="23" t="s">
        <v>142</v>
      </c>
      <c r="C88" s="44" t="s">
        <v>152</v>
      </c>
      <c r="D88" s="44" t="s">
        <v>152</v>
      </c>
      <c r="E88" s="28">
        <v>11.7</v>
      </c>
      <c r="F88" s="28">
        <v>11.7</v>
      </c>
      <c r="G88" s="158">
        <v>6.5</v>
      </c>
      <c r="H88" s="29">
        <v>6.5</v>
      </c>
      <c r="I88" s="158">
        <v>6.88</v>
      </c>
      <c r="J88" s="29">
        <v>6.88</v>
      </c>
      <c r="K88" s="158">
        <v>20.64</v>
      </c>
      <c r="L88" s="29">
        <v>20.64</v>
      </c>
      <c r="M88" s="158">
        <v>170.48</v>
      </c>
      <c r="N88" s="29">
        <v>170.48</v>
      </c>
      <c r="O88" s="158">
        <v>0.1</v>
      </c>
      <c r="P88" s="29">
        <f>O88*215/230</f>
        <v>0.09347826086956522</v>
      </c>
      <c r="Q88" s="158">
        <v>0.29</v>
      </c>
      <c r="R88" s="29">
        <f>Q88*215/230</f>
        <v>0.2710869565217391</v>
      </c>
      <c r="S88" s="158">
        <v>2.46</v>
      </c>
      <c r="T88" s="29">
        <v>2.46</v>
      </c>
      <c r="U88" s="28">
        <v>275.74</v>
      </c>
      <c r="V88" s="29">
        <v>275.74</v>
      </c>
      <c r="W88" s="28">
        <v>0.23</v>
      </c>
      <c r="X88" s="75">
        <v>0.23</v>
      </c>
      <c r="Y88" s="60"/>
      <c r="Z88" s="58"/>
      <c r="AA88" s="58"/>
      <c r="AB88" s="58"/>
      <c r="AC88" s="58"/>
      <c r="AD88" s="1"/>
    </row>
    <row r="89" spans="1:31" ht="15" customHeight="1">
      <c r="A89" s="22"/>
      <c r="B89" s="23" t="s">
        <v>7</v>
      </c>
      <c r="C89" s="44"/>
      <c r="D89" s="44"/>
      <c r="E89" s="17">
        <f>SUM(E88)</f>
        <v>11.7</v>
      </c>
      <c r="F89" s="17">
        <f>SUM(F88)</f>
        <v>11.7</v>
      </c>
      <c r="G89" s="17">
        <f aca="true" t="shared" si="17" ref="G89:T89">SUM(G88)</f>
        <v>6.5</v>
      </c>
      <c r="H89" s="17">
        <f t="shared" si="17"/>
        <v>6.5</v>
      </c>
      <c r="I89" s="17">
        <f t="shared" si="17"/>
        <v>6.88</v>
      </c>
      <c r="J89" s="17">
        <f t="shared" si="17"/>
        <v>6.88</v>
      </c>
      <c r="K89" s="17">
        <f t="shared" si="17"/>
        <v>20.64</v>
      </c>
      <c r="L89" s="17">
        <f t="shared" si="17"/>
        <v>20.64</v>
      </c>
      <c r="M89" s="17">
        <f t="shared" si="17"/>
        <v>170.48</v>
      </c>
      <c r="N89" s="17">
        <f t="shared" si="17"/>
        <v>170.48</v>
      </c>
      <c r="O89" s="17">
        <f t="shared" si="17"/>
        <v>0.1</v>
      </c>
      <c r="P89" s="17">
        <f t="shared" si="17"/>
        <v>0.09347826086956522</v>
      </c>
      <c r="Q89" s="17">
        <f t="shared" si="17"/>
        <v>0.29</v>
      </c>
      <c r="R89" s="17">
        <f t="shared" si="17"/>
        <v>0.2710869565217391</v>
      </c>
      <c r="S89" s="17">
        <f t="shared" si="17"/>
        <v>2.46</v>
      </c>
      <c r="T89" s="17">
        <f t="shared" si="17"/>
        <v>2.46</v>
      </c>
      <c r="U89" s="17">
        <f aca="true" t="shared" si="18" ref="U89:AB89">SUM(U88)</f>
        <v>275.74</v>
      </c>
      <c r="V89" s="17">
        <f t="shared" si="18"/>
        <v>275.74</v>
      </c>
      <c r="W89" s="17">
        <f t="shared" si="18"/>
        <v>0.23</v>
      </c>
      <c r="X89" s="17">
        <f t="shared" si="18"/>
        <v>0.23</v>
      </c>
      <c r="Y89" s="17">
        <f t="shared" si="18"/>
        <v>0</v>
      </c>
      <c r="Z89" s="17">
        <f t="shared" si="18"/>
        <v>0</v>
      </c>
      <c r="AA89" s="17">
        <f t="shared" si="18"/>
        <v>0</v>
      </c>
      <c r="AB89" s="17">
        <f t="shared" si="18"/>
        <v>0</v>
      </c>
      <c r="AC89" s="59"/>
      <c r="AD89" s="54"/>
      <c r="AE89" s="54"/>
    </row>
    <row r="90" spans="1:31" ht="15" customHeight="1">
      <c r="A90" s="26"/>
      <c r="B90" s="93" t="s">
        <v>13</v>
      </c>
      <c r="C90" s="44"/>
      <c r="D90" s="44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2"/>
      <c r="U90" s="42"/>
      <c r="V90" s="42"/>
      <c r="W90" s="42"/>
      <c r="X90" s="76"/>
      <c r="Y90" s="55"/>
      <c r="Z90" s="54"/>
      <c r="AA90" s="54"/>
      <c r="AB90" s="54"/>
      <c r="AC90" s="54"/>
      <c r="AD90" s="54"/>
      <c r="AE90" s="54"/>
    </row>
    <row r="91" spans="1:33" ht="15" customHeight="1">
      <c r="A91" s="136"/>
      <c r="B91" s="65" t="s">
        <v>143</v>
      </c>
      <c r="C91" s="66" t="s">
        <v>6</v>
      </c>
      <c r="D91" s="66" t="s">
        <v>6</v>
      </c>
      <c r="E91" s="62">
        <v>11.76</v>
      </c>
      <c r="F91" s="62">
        <v>11.76</v>
      </c>
      <c r="G91" s="62">
        <v>1.35</v>
      </c>
      <c r="H91" s="63">
        <v>1.35</v>
      </c>
      <c r="I91" s="62">
        <v>0</v>
      </c>
      <c r="J91" s="63">
        <v>0</v>
      </c>
      <c r="K91" s="62">
        <v>12.15</v>
      </c>
      <c r="L91" s="63">
        <v>12.15</v>
      </c>
      <c r="M91" s="62">
        <v>64.5</v>
      </c>
      <c r="N91" s="63">
        <v>64.5</v>
      </c>
      <c r="O91" s="62">
        <v>0.02</v>
      </c>
      <c r="P91" s="63">
        <v>0.02</v>
      </c>
      <c r="Q91" s="62">
        <f>R91*160/150</f>
        <v>0.05333333333333334</v>
      </c>
      <c r="R91" s="63">
        <v>0.05</v>
      </c>
      <c r="S91" s="62">
        <v>23</v>
      </c>
      <c r="T91" s="63">
        <v>23</v>
      </c>
      <c r="U91" s="62">
        <v>24</v>
      </c>
      <c r="V91" s="63">
        <v>24</v>
      </c>
      <c r="W91" s="62">
        <v>3.3</v>
      </c>
      <c r="X91" s="71">
        <v>3.3</v>
      </c>
      <c r="Y91" s="55"/>
      <c r="Z91" s="58"/>
      <c r="AA91" s="58"/>
      <c r="AB91" s="58"/>
      <c r="AC91" s="54"/>
      <c r="AD91" s="54"/>
      <c r="AE91" s="54"/>
      <c r="AF91" s="54"/>
      <c r="AG91" s="54"/>
    </row>
    <row r="92" spans="1:33" s="7" customFormat="1" ht="30" customHeight="1">
      <c r="A92" s="139" t="s">
        <v>113</v>
      </c>
      <c r="B92" s="23" t="s">
        <v>114</v>
      </c>
      <c r="C92" s="44" t="s">
        <v>115</v>
      </c>
      <c r="D92" s="44" t="s">
        <v>115</v>
      </c>
      <c r="E92" s="28">
        <v>15.87</v>
      </c>
      <c r="F92" s="28">
        <v>15.87</v>
      </c>
      <c r="G92" s="28">
        <v>7.28</v>
      </c>
      <c r="H92" s="29">
        <v>7.28</v>
      </c>
      <c r="I92" s="28">
        <v>5.44</v>
      </c>
      <c r="J92" s="29">
        <v>5.44</v>
      </c>
      <c r="K92" s="28">
        <v>6.17</v>
      </c>
      <c r="L92" s="29">
        <v>6.17</v>
      </c>
      <c r="M92" s="28">
        <v>102.7</v>
      </c>
      <c r="N92" s="29">
        <v>102.7</v>
      </c>
      <c r="O92" s="29">
        <v>0.09</v>
      </c>
      <c r="P92" s="29">
        <v>0.09</v>
      </c>
      <c r="Q92" s="29">
        <v>0.1</v>
      </c>
      <c r="R92" s="29">
        <v>0.1</v>
      </c>
      <c r="S92" s="28">
        <v>3.59</v>
      </c>
      <c r="T92" s="29">
        <v>3.59</v>
      </c>
      <c r="U92" s="29">
        <v>23.97</v>
      </c>
      <c r="V92" s="29">
        <v>23.97</v>
      </c>
      <c r="W92" s="29">
        <v>0.61</v>
      </c>
      <c r="X92" s="75">
        <v>0.61</v>
      </c>
      <c r="Y92" s="123"/>
      <c r="Z92" s="85"/>
      <c r="AA92" s="85"/>
      <c r="AB92" s="85"/>
      <c r="AC92" s="85"/>
      <c r="AD92" s="77"/>
      <c r="AE92" s="77"/>
      <c r="AF92" s="77"/>
      <c r="AG92" s="77"/>
    </row>
    <row r="93" spans="1:31" ht="15" customHeight="1">
      <c r="A93" s="135" t="s">
        <v>119</v>
      </c>
      <c r="B93" s="23" t="s">
        <v>120</v>
      </c>
      <c r="C93" s="44" t="s">
        <v>6</v>
      </c>
      <c r="D93" s="44" t="s">
        <v>82</v>
      </c>
      <c r="E93" s="28">
        <v>9.64</v>
      </c>
      <c r="F93" s="28">
        <v>6.96</v>
      </c>
      <c r="G93" s="29">
        <v>3</v>
      </c>
      <c r="H93" s="29">
        <f>G93*130/150</f>
        <v>2.6</v>
      </c>
      <c r="I93" s="29">
        <v>4.8</v>
      </c>
      <c r="J93" s="29">
        <f>I93*130/150</f>
        <v>4.16</v>
      </c>
      <c r="K93" s="29">
        <v>20.4</v>
      </c>
      <c r="L93" s="29">
        <f>K93*130/150</f>
        <v>17.68</v>
      </c>
      <c r="M93" s="29">
        <v>140</v>
      </c>
      <c r="N93" s="29">
        <f>M93*130/150</f>
        <v>121.33333333333333</v>
      </c>
      <c r="O93" s="41">
        <v>0.16</v>
      </c>
      <c r="P93" s="41">
        <v>0</v>
      </c>
      <c r="Q93" s="41">
        <v>0.1</v>
      </c>
      <c r="R93" s="41">
        <f>Q93/1.5</f>
        <v>0.06666666666666667</v>
      </c>
      <c r="S93" s="29">
        <v>18.1</v>
      </c>
      <c r="T93" s="29">
        <f>S93*130/150</f>
        <v>15.686666666666667</v>
      </c>
      <c r="U93" s="43">
        <v>42.66</v>
      </c>
      <c r="V93" s="43">
        <v>35.44</v>
      </c>
      <c r="W93" s="43">
        <v>0.19</v>
      </c>
      <c r="X93" s="43">
        <f>W93/1.5</f>
        <v>0.12666666666666668</v>
      </c>
      <c r="Y93" s="54"/>
      <c r="Z93" s="54"/>
      <c r="AA93" s="54"/>
      <c r="AB93" s="54"/>
      <c r="AC93" s="54"/>
      <c r="AD93" s="54"/>
      <c r="AE93" s="54"/>
    </row>
    <row r="94" spans="1:31" ht="15" customHeight="1">
      <c r="A94" s="136" t="s">
        <v>92</v>
      </c>
      <c r="B94" s="68" t="s">
        <v>93</v>
      </c>
      <c r="C94" s="66" t="s">
        <v>5</v>
      </c>
      <c r="D94" s="66" t="s">
        <v>6</v>
      </c>
      <c r="E94" s="62">
        <v>0.51</v>
      </c>
      <c r="F94" s="62">
        <v>0.38</v>
      </c>
      <c r="G94" s="62">
        <v>0.18</v>
      </c>
      <c r="H94" s="63">
        <v>0.13</v>
      </c>
      <c r="I94" s="62">
        <f>J94*200/150</f>
        <v>0</v>
      </c>
      <c r="J94" s="63">
        <v>0</v>
      </c>
      <c r="K94" s="62">
        <v>4.78</v>
      </c>
      <c r="L94" s="63">
        <v>3.58</v>
      </c>
      <c r="M94" s="62">
        <v>19.9</v>
      </c>
      <c r="N94" s="63">
        <v>14.92</v>
      </c>
      <c r="O94" s="62">
        <f>P94*200/150</f>
        <v>0.013333333333333334</v>
      </c>
      <c r="P94" s="70">
        <v>0.01</v>
      </c>
      <c r="Q94" s="62">
        <f>R94*200/150</f>
        <v>0.013333333333333334</v>
      </c>
      <c r="R94" s="70">
        <v>0.01</v>
      </c>
      <c r="S94" s="62">
        <v>0.04</v>
      </c>
      <c r="T94" s="70">
        <v>0.03</v>
      </c>
      <c r="U94" s="62">
        <f>V94*200/150</f>
        <v>5.053333333333334</v>
      </c>
      <c r="V94" s="70">
        <v>3.79</v>
      </c>
      <c r="W94" s="62">
        <f>X94*200/150</f>
        <v>0.84</v>
      </c>
      <c r="X94" s="124">
        <v>0.63</v>
      </c>
      <c r="Y94" s="54"/>
      <c r="Z94" s="54"/>
      <c r="AA94" s="54"/>
      <c r="AB94" s="54"/>
      <c r="AC94" s="54"/>
      <c r="AD94" s="54"/>
      <c r="AE94" s="54"/>
    </row>
    <row r="95" spans="1:31" s="16" customFormat="1" ht="15" customHeight="1">
      <c r="A95" s="135"/>
      <c r="B95" s="23" t="s">
        <v>11</v>
      </c>
      <c r="C95" s="44" t="s">
        <v>14</v>
      </c>
      <c r="D95" s="44" t="s">
        <v>14</v>
      </c>
      <c r="E95" s="28">
        <v>1.11</v>
      </c>
      <c r="F95" s="28">
        <v>1.11</v>
      </c>
      <c r="G95" s="28">
        <v>1.6</v>
      </c>
      <c r="H95" s="28">
        <v>1.6</v>
      </c>
      <c r="I95" s="28">
        <v>0.4</v>
      </c>
      <c r="J95" s="28">
        <v>0.4</v>
      </c>
      <c r="K95" s="28">
        <v>10</v>
      </c>
      <c r="L95" s="28">
        <v>10</v>
      </c>
      <c r="M95" s="29">
        <v>54</v>
      </c>
      <c r="N95" s="29">
        <v>54</v>
      </c>
      <c r="O95" s="43">
        <v>0.04</v>
      </c>
      <c r="P95" s="48">
        <v>0.04</v>
      </c>
      <c r="Q95" s="43">
        <v>0.02</v>
      </c>
      <c r="R95" s="48">
        <v>0.02</v>
      </c>
      <c r="S95" s="43">
        <v>0</v>
      </c>
      <c r="T95" s="48">
        <v>0</v>
      </c>
      <c r="U95" s="43">
        <v>7.4</v>
      </c>
      <c r="V95" s="48">
        <v>7.4</v>
      </c>
      <c r="W95" s="43">
        <v>0.56</v>
      </c>
      <c r="X95" s="48">
        <v>0.56</v>
      </c>
      <c r="Y95" s="57"/>
      <c r="Z95" s="57"/>
      <c r="AA95" s="57"/>
      <c r="AB95" s="57"/>
      <c r="AC95" s="57"/>
      <c r="AD95" s="57"/>
      <c r="AE95" s="57"/>
    </row>
    <row r="96" spans="1:31" ht="15" customHeight="1">
      <c r="A96" s="22"/>
      <c r="B96" s="23" t="s">
        <v>7</v>
      </c>
      <c r="C96" s="44"/>
      <c r="D96" s="44"/>
      <c r="E96" s="17">
        <f>SUM(E91:E95)</f>
        <v>38.88999999999999</v>
      </c>
      <c r="F96" s="17">
        <f>SUM(F91:F95)</f>
        <v>36.08</v>
      </c>
      <c r="G96" s="17">
        <f aca="true" t="shared" si="19" ref="G96:T96">SUM(G91:G95)</f>
        <v>13.41</v>
      </c>
      <c r="H96" s="17">
        <f t="shared" si="19"/>
        <v>12.96</v>
      </c>
      <c r="I96" s="17">
        <f t="shared" si="19"/>
        <v>10.64</v>
      </c>
      <c r="J96" s="17">
        <f t="shared" si="19"/>
        <v>10.000000000000002</v>
      </c>
      <c r="K96" s="17">
        <f t="shared" si="19"/>
        <v>53.5</v>
      </c>
      <c r="L96" s="17">
        <f t="shared" si="19"/>
        <v>49.58</v>
      </c>
      <c r="M96" s="17">
        <f t="shared" si="19"/>
        <v>381.09999999999997</v>
      </c>
      <c r="N96" s="17">
        <f t="shared" si="19"/>
        <v>357.4533333333333</v>
      </c>
      <c r="O96" s="17">
        <f t="shared" si="19"/>
        <v>0.3233333333333333</v>
      </c>
      <c r="P96" s="17">
        <f t="shared" si="19"/>
        <v>0.16</v>
      </c>
      <c r="Q96" s="17">
        <f t="shared" si="19"/>
        <v>0.2866666666666667</v>
      </c>
      <c r="R96" s="17">
        <f t="shared" si="19"/>
        <v>0.24666666666666667</v>
      </c>
      <c r="S96" s="17">
        <f t="shared" si="19"/>
        <v>44.73</v>
      </c>
      <c r="T96" s="17">
        <f t="shared" si="19"/>
        <v>42.30666666666667</v>
      </c>
      <c r="U96" s="17">
        <f>SUM(U91:U95)</f>
        <v>103.08333333333333</v>
      </c>
      <c r="V96" s="17">
        <f>SUM(V91:V95)</f>
        <v>94.60000000000001</v>
      </c>
      <c r="W96" s="17">
        <f>SUM(W91:W95)</f>
        <v>5.5</v>
      </c>
      <c r="X96" s="17">
        <f>SUM(X91:X95)</f>
        <v>5.226666666666667</v>
      </c>
      <c r="Y96" s="73">
        <f>SUM(Y91:Y95)</f>
        <v>0</v>
      </c>
      <c r="Z96" s="59"/>
      <c r="AA96" s="59"/>
      <c r="AB96" s="59"/>
      <c r="AC96" s="59"/>
      <c r="AD96" s="54"/>
      <c r="AE96" s="54"/>
    </row>
    <row r="97" spans="1:31" ht="15" customHeight="1">
      <c r="A97" s="22"/>
      <c r="B97" s="23" t="s">
        <v>15</v>
      </c>
      <c r="C97" s="44"/>
      <c r="D97" s="28"/>
      <c r="E97" s="17">
        <f>E96+E89+E86+E78+E75</f>
        <v>122.88</v>
      </c>
      <c r="F97" s="17">
        <f>F96+F89+F86+F78+F75</f>
        <v>110.66</v>
      </c>
      <c r="G97" s="17">
        <f aca="true" t="shared" si="20" ref="G97:T97">G96+G89+G86+G78+G75</f>
        <v>70.48</v>
      </c>
      <c r="H97" s="17">
        <f t="shared" si="20"/>
        <v>58.42</v>
      </c>
      <c r="I97" s="17">
        <f t="shared" si="20"/>
        <v>58.285555555555554</v>
      </c>
      <c r="J97" s="17">
        <f t="shared" si="20"/>
        <v>50.266</v>
      </c>
      <c r="K97" s="17">
        <f t="shared" si="20"/>
        <v>264.98</v>
      </c>
      <c r="L97" s="17">
        <f t="shared" si="20"/>
        <v>217.22</v>
      </c>
      <c r="M97" s="17">
        <f t="shared" si="20"/>
        <v>1885.4955555555555</v>
      </c>
      <c r="N97" s="17">
        <f t="shared" si="20"/>
        <v>1536.6233333333334</v>
      </c>
      <c r="O97" s="17">
        <f t="shared" si="20"/>
        <v>1.2553333333333334</v>
      </c>
      <c r="P97" s="17">
        <f t="shared" si="20"/>
        <v>0.7130237154150199</v>
      </c>
      <c r="Q97" s="17">
        <f t="shared" si="20"/>
        <v>1.5926666666666667</v>
      </c>
      <c r="R97" s="17">
        <f t="shared" si="20"/>
        <v>1.280026350461133</v>
      </c>
      <c r="S97" s="17">
        <f t="shared" si="20"/>
        <v>69.97</v>
      </c>
      <c r="T97" s="17">
        <f t="shared" si="20"/>
        <v>62.55000000000001</v>
      </c>
      <c r="U97" s="50">
        <f>U96+U89+U86+U78+U75</f>
        <v>1010.2093333333332</v>
      </c>
      <c r="V97" s="17">
        <f>V96+V89+V86+V78+V75</f>
        <v>871.6425757575757</v>
      </c>
      <c r="W97" s="17">
        <f>W96+W89+W86+W78+W75-4</f>
        <v>9.274000000000001</v>
      </c>
      <c r="X97" s="73">
        <f>X96+X89+X86+X78+X75-1</f>
        <v>9.32409090909091</v>
      </c>
      <c r="Y97" s="64"/>
      <c r="Z97" s="59"/>
      <c r="AA97" s="59"/>
      <c r="AB97" s="59"/>
      <c r="AC97" s="59"/>
      <c r="AD97" s="54"/>
      <c r="AE97" s="54"/>
    </row>
    <row r="98" spans="1:31" ht="15" customHeight="1">
      <c r="A98" s="22"/>
      <c r="B98" s="92" t="s">
        <v>159</v>
      </c>
      <c r="C98" s="44"/>
      <c r="D98" s="44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2"/>
      <c r="U98" s="42"/>
      <c r="V98" s="42"/>
      <c r="W98" s="42"/>
      <c r="X98" s="76"/>
      <c r="Y98" s="55"/>
      <c r="Z98" s="54"/>
      <c r="AA98" s="54"/>
      <c r="AB98" s="54"/>
      <c r="AC98" s="54"/>
      <c r="AD98" s="130"/>
      <c r="AE98" s="130"/>
    </row>
    <row r="99" spans="1:31" ht="15" customHeight="1">
      <c r="A99" s="22"/>
      <c r="B99" s="93" t="s">
        <v>4</v>
      </c>
      <c r="C99" s="44"/>
      <c r="D99" s="44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42"/>
      <c r="U99" s="42"/>
      <c r="V99" s="42"/>
      <c r="W99" s="42"/>
      <c r="X99" s="76"/>
      <c r="Y99" s="55"/>
      <c r="Z99" s="54"/>
      <c r="AA99" s="54"/>
      <c r="AB99" s="54"/>
      <c r="AC99" s="54"/>
      <c r="AD99" s="54"/>
      <c r="AE99" s="54"/>
    </row>
    <row r="100" spans="1:30" s="7" customFormat="1" ht="15" customHeight="1">
      <c r="A100" s="135" t="s">
        <v>53</v>
      </c>
      <c r="B100" s="23" t="s">
        <v>55</v>
      </c>
      <c r="C100" s="44" t="s">
        <v>91</v>
      </c>
      <c r="D100" s="44" t="s">
        <v>91</v>
      </c>
      <c r="E100" s="28">
        <v>4.03</v>
      </c>
      <c r="F100" s="28">
        <v>4.03</v>
      </c>
      <c r="G100" s="28">
        <v>1.63</v>
      </c>
      <c r="H100" s="29">
        <v>1.63</v>
      </c>
      <c r="I100" s="29">
        <v>4.7</v>
      </c>
      <c r="J100" s="29">
        <v>4.7</v>
      </c>
      <c r="K100" s="29">
        <v>10.4</v>
      </c>
      <c r="L100" s="29">
        <v>10.4</v>
      </c>
      <c r="M100" s="29">
        <v>90.42</v>
      </c>
      <c r="N100" s="29">
        <v>90.42</v>
      </c>
      <c r="O100" s="41">
        <v>0.08</v>
      </c>
      <c r="P100" s="45">
        <v>0.05</v>
      </c>
      <c r="Q100" s="41">
        <v>0.04</v>
      </c>
      <c r="R100" s="45">
        <v>0.02</v>
      </c>
      <c r="S100" s="41">
        <v>0</v>
      </c>
      <c r="T100" s="29">
        <f>S100*25/45</f>
        <v>0</v>
      </c>
      <c r="U100" s="43">
        <v>13.6</v>
      </c>
      <c r="V100" s="48">
        <v>8.6</v>
      </c>
      <c r="W100" s="43">
        <v>0.81</v>
      </c>
      <c r="X100" s="48">
        <v>0.49</v>
      </c>
      <c r="Y100" s="77"/>
      <c r="Z100" s="77"/>
      <c r="AA100" s="77"/>
      <c r="AB100" s="77"/>
      <c r="AC100" s="77"/>
      <c r="AD100" s="77"/>
    </row>
    <row r="101" spans="1:33" ht="25.5" customHeight="1">
      <c r="A101" s="136" t="s">
        <v>56</v>
      </c>
      <c r="B101" s="115" t="s">
        <v>141</v>
      </c>
      <c r="C101" s="66" t="s">
        <v>98</v>
      </c>
      <c r="D101" s="66" t="s">
        <v>99</v>
      </c>
      <c r="E101" s="62">
        <v>11.6</v>
      </c>
      <c r="F101" s="62">
        <v>9.08</v>
      </c>
      <c r="G101" s="150">
        <v>4.4</v>
      </c>
      <c r="H101" s="150">
        <v>4.12</v>
      </c>
      <c r="I101" s="150">
        <v>4.06</v>
      </c>
      <c r="J101" s="150">
        <v>4.03</v>
      </c>
      <c r="K101" s="150">
        <v>26.99</v>
      </c>
      <c r="L101" s="150">
        <v>25.31</v>
      </c>
      <c r="M101" s="150">
        <v>162</v>
      </c>
      <c r="N101" s="150">
        <v>154</v>
      </c>
      <c r="O101" s="151">
        <v>0.17</v>
      </c>
      <c r="P101" s="150">
        <f>O101*150/200</f>
        <v>0.12750000000000003</v>
      </c>
      <c r="Q101" s="151">
        <v>0.26</v>
      </c>
      <c r="R101" s="150">
        <f>Q101*150/200</f>
        <v>0.195</v>
      </c>
      <c r="S101" s="151">
        <v>0</v>
      </c>
      <c r="T101" s="150">
        <v>0</v>
      </c>
      <c r="U101" s="151">
        <v>180.02</v>
      </c>
      <c r="V101" s="150">
        <v>170.02</v>
      </c>
      <c r="W101" s="151">
        <v>0.75</v>
      </c>
      <c r="X101" s="152">
        <f>W101*150/200</f>
        <v>0.5625</v>
      </c>
      <c r="Y101" s="55"/>
      <c r="Z101" s="54"/>
      <c r="AA101" s="54"/>
      <c r="AB101" s="54"/>
      <c r="AC101" s="54"/>
      <c r="AD101" s="54"/>
      <c r="AE101" s="54"/>
      <c r="AF101" s="54"/>
      <c r="AG101" s="54"/>
    </row>
    <row r="102" spans="1:31" ht="15" customHeight="1">
      <c r="A102" s="135" t="s">
        <v>32</v>
      </c>
      <c r="B102" s="23" t="s">
        <v>33</v>
      </c>
      <c r="C102" s="44" t="s">
        <v>31</v>
      </c>
      <c r="D102" s="44" t="s">
        <v>6</v>
      </c>
      <c r="E102" s="28">
        <v>5.87</v>
      </c>
      <c r="F102" s="28">
        <v>4.89</v>
      </c>
      <c r="G102" s="41">
        <v>2.95</v>
      </c>
      <c r="H102" s="41">
        <v>2.46</v>
      </c>
      <c r="I102" s="41">
        <v>3.24</v>
      </c>
      <c r="J102" s="41">
        <v>2.7</v>
      </c>
      <c r="K102" s="41">
        <v>22.82</v>
      </c>
      <c r="L102" s="41">
        <v>19.02</v>
      </c>
      <c r="M102" s="41">
        <v>132.26</v>
      </c>
      <c r="N102" s="29">
        <v>110.22</v>
      </c>
      <c r="O102" s="41">
        <f>P102*180/150</f>
        <v>0.024</v>
      </c>
      <c r="P102" s="45">
        <v>0.02</v>
      </c>
      <c r="Q102" s="41">
        <f>R102*180/150</f>
        <v>0.12</v>
      </c>
      <c r="R102" s="45">
        <v>0.1</v>
      </c>
      <c r="S102" s="41">
        <v>1.43</v>
      </c>
      <c r="T102" s="45">
        <v>1.2</v>
      </c>
      <c r="U102" s="41">
        <f>V102*180/150</f>
        <v>109.58399999999999</v>
      </c>
      <c r="V102" s="45">
        <v>91.32</v>
      </c>
      <c r="W102" s="41">
        <f>X102*180/150</f>
        <v>0.36</v>
      </c>
      <c r="X102" s="45">
        <v>0.3</v>
      </c>
      <c r="Y102" s="54"/>
      <c r="Z102" s="54"/>
      <c r="AA102" s="54"/>
      <c r="AB102" s="54"/>
      <c r="AC102" s="54"/>
      <c r="AD102" s="54"/>
      <c r="AE102" s="54"/>
    </row>
    <row r="103" spans="1:32" ht="15" customHeight="1">
      <c r="A103" s="22"/>
      <c r="B103" s="23" t="s">
        <v>7</v>
      </c>
      <c r="C103" s="44"/>
      <c r="D103" s="44"/>
      <c r="E103" s="17">
        <f>SUM(E100:E102)</f>
        <v>21.5</v>
      </c>
      <c r="F103" s="17">
        <f>SUM(F100:F102)</f>
        <v>18</v>
      </c>
      <c r="G103" s="17">
        <f aca="true" t="shared" si="21" ref="G103:T103">SUM(G100:G102)</f>
        <v>8.98</v>
      </c>
      <c r="H103" s="17">
        <f t="shared" si="21"/>
        <v>8.21</v>
      </c>
      <c r="I103" s="17">
        <f t="shared" si="21"/>
        <v>12</v>
      </c>
      <c r="J103" s="17">
        <f t="shared" si="21"/>
        <v>11.43</v>
      </c>
      <c r="K103" s="17">
        <f t="shared" si="21"/>
        <v>60.21</v>
      </c>
      <c r="L103" s="17">
        <f t="shared" si="21"/>
        <v>54.730000000000004</v>
      </c>
      <c r="M103" s="17">
        <f t="shared" si="21"/>
        <v>384.68</v>
      </c>
      <c r="N103" s="17">
        <f t="shared" si="21"/>
        <v>354.64</v>
      </c>
      <c r="O103" s="17">
        <f t="shared" si="21"/>
        <v>0.274</v>
      </c>
      <c r="P103" s="17">
        <f t="shared" si="21"/>
        <v>0.19750000000000004</v>
      </c>
      <c r="Q103" s="17">
        <f t="shared" si="21"/>
        <v>0.42</v>
      </c>
      <c r="R103" s="17">
        <f t="shared" si="21"/>
        <v>0.315</v>
      </c>
      <c r="S103" s="17">
        <f t="shared" si="21"/>
        <v>1.43</v>
      </c>
      <c r="T103" s="17">
        <f t="shared" si="21"/>
        <v>1.2</v>
      </c>
      <c r="U103" s="17">
        <f aca="true" t="shared" si="22" ref="U103:AB103">SUM(U100:U102)</f>
        <v>303.204</v>
      </c>
      <c r="V103" s="17">
        <f t="shared" si="22"/>
        <v>269.94</v>
      </c>
      <c r="W103" s="17">
        <f t="shared" si="22"/>
        <v>1.92</v>
      </c>
      <c r="X103" s="17">
        <f t="shared" si="22"/>
        <v>1.3525</v>
      </c>
      <c r="Y103" s="17">
        <f t="shared" si="22"/>
        <v>0</v>
      </c>
      <c r="Z103" s="17">
        <f t="shared" si="22"/>
        <v>0</v>
      </c>
      <c r="AA103" s="17">
        <f t="shared" si="22"/>
        <v>0</v>
      </c>
      <c r="AB103" s="17">
        <f t="shared" si="22"/>
        <v>0</v>
      </c>
      <c r="AC103" s="59"/>
      <c r="AD103" s="59"/>
      <c r="AE103" s="59"/>
      <c r="AF103" s="59"/>
    </row>
    <row r="104" spans="1:32" ht="15" customHeight="1">
      <c r="A104" s="22"/>
      <c r="B104" s="93" t="s">
        <v>16</v>
      </c>
      <c r="C104" s="44"/>
      <c r="D104" s="44"/>
      <c r="E104" s="28"/>
      <c r="F104" s="28"/>
      <c r="G104" s="28"/>
      <c r="H104" s="29"/>
      <c r="I104" s="29"/>
      <c r="J104" s="29"/>
      <c r="K104" s="29"/>
      <c r="L104" s="29"/>
      <c r="M104" s="29"/>
      <c r="N104" s="29"/>
      <c r="O104" s="42"/>
      <c r="P104" s="42"/>
      <c r="Q104" s="42"/>
      <c r="R104" s="42"/>
      <c r="S104" s="42"/>
      <c r="T104" s="42"/>
      <c r="U104" s="42"/>
      <c r="V104" s="42"/>
      <c r="W104" s="42"/>
      <c r="X104" s="76"/>
      <c r="Y104" s="55"/>
      <c r="Z104" s="54"/>
      <c r="AA104" s="54"/>
      <c r="AB104" s="54"/>
      <c r="AC104" s="54"/>
      <c r="AD104" s="54"/>
      <c r="AE104" s="54"/>
      <c r="AF104" s="54"/>
    </row>
    <row r="105" spans="1:31" s="1" customFormat="1" ht="15" customHeight="1">
      <c r="A105" s="136" t="s">
        <v>52</v>
      </c>
      <c r="B105" s="65" t="s">
        <v>63</v>
      </c>
      <c r="C105" s="66" t="s">
        <v>144</v>
      </c>
      <c r="D105" s="66" t="s">
        <v>144</v>
      </c>
      <c r="E105" s="62">
        <v>4.32</v>
      </c>
      <c r="F105" s="62">
        <v>4.32</v>
      </c>
      <c r="G105" s="67">
        <v>0</v>
      </c>
      <c r="H105" s="69">
        <v>0</v>
      </c>
      <c r="I105" s="67">
        <f>J105*180/150</f>
        <v>0</v>
      </c>
      <c r="J105" s="69">
        <v>0</v>
      </c>
      <c r="K105" s="67">
        <v>9.6</v>
      </c>
      <c r="L105" s="69">
        <v>9.6</v>
      </c>
      <c r="M105" s="67">
        <v>38.4</v>
      </c>
      <c r="N105" s="69">
        <v>38.4</v>
      </c>
      <c r="O105" s="67">
        <f>P105*180/150</f>
        <v>0</v>
      </c>
      <c r="P105" s="69">
        <v>0</v>
      </c>
      <c r="Q105" s="67">
        <f>R105*180/150</f>
        <v>0.024</v>
      </c>
      <c r="R105" s="69">
        <v>0.02</v>
      </c>
      <c r="S105" s="67">
        <v>3.2</v>
      </c>
      <c r="T105" s="69">
        <v>3.2</v>
      </c>
      <c r="U105" s="67">
        <f>V105*180/150</f>
        <v>9.996</v>
      </c>
      <c r="V105" s="69">
        <v>8.33</v>
      </c>
      <c r="W105" s="67">
        <f>X105*180/150</f>
        <v>0.252</v>
      </c>
      <c r="X105" s="108">
        <v>0.21</v>
      </c>
      <c r="Y105" s="58"/>
      <c r="Z105" s="58"/>
      <c r="AA105" s="58"/>
      <c r="AB105" s="58"/>
      <c r="AC105" s="58"/>
      <c r="AD105" s="58"/>
      <c r="AE105" s="58"/>
    </row>
    <row r="106" spans="1:31" ht="15" customHeight="1">
      <c r="A106" s="22"/>
      <c r="B106" s="23" t="s">
        <v>7</v>
      </c>
      <c r="C106" s="44"/>
      <c r="D106" s="44"/>
      <c r="E106" s="17">
        <f>SUM(E105)</f>
        <v>4.32</v>
      </c>
      <c r="F106" s="17">
        <f>SUM(F105)</f>
        <v>4.32</v>
      </c>
      <c r="G106" s="17">
        <f aca="true" t="shared" si="23" ref="G106:T106">SUM(G105)</f>
        <v>0</v>
      </c>
      <c r="H106" s="17">
        <f t="shared" si="23"/>
        <v>0</v>
      </c>
      <c r="I106" s="17">
        <f t="shared" si="23"/>
        <v>0</v>
      </c>
      <c r="J106" s="17">
        <f t="shared" si="23"/>
        <v>0</v>
      </c>
      <c r="K106" s="17">
        <f t="shared" si="23"/>
        <v>9.6</v>
      </c>
      <c r="L106" s="17">
        <f t="shared" si="23"/>
        <v>9.6</v>
      </c>
      <c r="M106" s="17">
        <f t="shared" si="23"/>
        <v>38.4</v>
      </c>
      <c r="N106" s="17">
        <f t="shared" si="23"/>
        <v>38.4</v>
      </c>
      <c r="O106" s="17">
        <f t="shared" si="23"/>
        <v>0</v>
      </c>
      <c r="P106" s="17">
        <f t="shared" si="23"/>
        <v>0</v>
      </c>
      <c r="Q106" s="17">
        <f t="shared" si="23"/>
        <v>0.024</v>
      </c>
      <c r="R106" s="17">
        <f t="shared" si="23"/>
        <v>0.02</v>
      </c>
      <c r="S106" s="17">
        <f t="shared" si="23"/>
        <v>3.2</v>
      </c>
      <c r="T106" s="17">
        <f t="shared" si="23"/>
        <v>3.2</v>
      </c>
      <c r="U106" s="17">
        <f>SUM(U105)</f>
        <v>9.996</v>
      </c>
      <c r="V106" s="17">
        <f>SUM(V105)</f>
        <v>8.33</v>
      </c>
      <c r="W106" s="17">
        <f>SUM(W105)</f>
        <v>0.252</v>
      </c>
      <c r="X106" s="17">
        <f>SUM(X105)</f>
        <v>0.21</v>
      </c>
      <c r="Y106" s="73">
        <f>SUM(Y105)</f>
        <v>0</v>
      </c>
      <c r="Z106" s="59"/>
      <c r="AA106" s="59"/>
      <c r="AB106" s="59"/>
      <c r="AC106" s="59"/>
      <c r="AD106" s="54"/>
      <c r="AE106" s="54"/>
    </row>
    <row r="107" spans="1:31" ht="15" customHeight="1">
      <c r="A107" s="22"/>
      <c r="B107" s="93" t="s">
        <v>9</v>
      </c>
      <c r="C107" s="44"/>
      <c r="D107" s="44"/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75"/>
      <c r="Y107" s="55"/>
      <c r="Z107" s="54"/>
      <c r="AA107" s="54"/>
      <c r="AB107" s="54"/>
      <c r="AC107" s="54"/>
      <c r="AD107" s="54"/>
      <c r="AE107" s="54"/>
    </row>
    <row r="108" spans="1:24" ht="24" customHeight="1">
      <c r="A108" s="160" t="s">
        <v>171</v>
      </c>
      <c r="B108" s="23" t="s">
        <v>172</v>
      </c>
      <c r="C108" s="44" t="s">
        <v>173</v>
      </c>
      <c r="D108" s="44" t="s">
        <v>174</v>
      </c>
      <c r="E108" s="28">
        <v>4.31</v>
      </c>
      <c r="F108" s="28">
        <v>3.24</v>
      </c>
      <c r="G108" s="28">
        <v>0.5</v>
      </c>
      <c r="H108" s="29">
        <f>G108*45/60</f>
        <v>0.375</v>
      </c>
      <c r="I108" s="29">
        <v>2.25</v>
      </c>
      <c r="J108" s="29">
        <f>I108*45/60</f>
        <v>1.6875</v>
      </c>
      <c r="K108" s="29">
        <v>3.61</v>
      </c>
      <c r="L108" s="29">
        <f>K108*45/60</f>
        <v>2.7075</v>
      </c>
      <c r="M108" s="29">
        <v>36.65</v>
      </c>
      <c r="N108" s="29">
        <f>M108*45/60</f>
        <v>27.4875</v>
      </c>
      <c r="O108" s="29">
        <v>0</v>
      </c>
      <c r="P108" s="29">
        <f>O108*45/60</f>
        <v>0</v>
      </c>
      <c r="Q108" s="29">
        <v>0</v>
      </c>
      <c r="R108" s="29">
        <f>Q108*45/60</f>
        <v>0</v>
      </c>
      <c r="S108" s="29">
        <v>10.86</v>
      </c>
      <c r="T108" s="29">
        <f>S108*45/60</f>
        <v>8.145</v>
      </c>
      <c r="U108" s="29">
        <v>37.322</v>
      </c>
      <c r="V108" s="29">
        <f>U108*45/60</f>
        <v>27.991500000000006</v>
      </c>
      <c r="W108" s="29">
        <v>0.96</v>
      </c>
      <c r="X108" s="29">
        <f>W108*45/60</f>
        <v>0.72</v>
      </c>
    </row>
    <row r="109" spans="1:31" ht="24.75" customHeight="1">
      <c r="A109" s="136" t="s">
        <v>175</v>
      </c>
      <c r="B109" s="68" t="s">
        <v>176</v>
      </c>
      <c r="C109" s="66" t="s">
        <v>70</v>
      </c>
      <c r="D109" s="66" t="s">
        <v>71</v>
      </c>
      <c r="E109" s="62">
        <v>12.73</v>
      </c>
      <c r="F109" s="62">
        <v>11.67</v>
      </c>
      <c r="G109" s="67">
        <v>6.34</v>
      </c>
      <c r="H109" s="67">
        <v>5.78</v>
      </c>
      <c r="I109" s="67">
        <v>7.75</v>
      </c>
      <c r="J109" s="67">
        <v>7.15</v>
      </c>
      <c r="K109" s="67">
        <v>16.4</v>
      </c>
      <c r="L109" s="67">
        <v>12.3</v>
      </c>
      <c r="M109" s="67">
        <v>161</v>
      </c>
      <c r="N109" s="67">
        <v>137</v>
      </c>
      <c r="O109" s="67">
        <v>0.14</v>
      </c>
      <c r="P109" s="69">
        <v>0.16</v>
      </c>
      <c r="Q109" s="67">
        <v>0.05</v>
      </c>
      <c r="R109" s="69">
        <v>0.11</v>
      </c>
      <c r="S109" s="67">
        <v>8.1</v>
      </c>
      <c r="T109" s="69">
        <f>S109*175/225</f>
        <v>6.3</v>
      </c>
      <c r="U109" s="67">
        <v>17.7</v>
      </c>
      <c r="V109" s="69">
        <v>18.09</v>
      </c>
      <c r="W109" s="67">
        <v>1.11</v>
      </c>
      <c r="X109" s="161">
        <v>1.07</v>
      </c>
      <c r="Y109" s="55"/>
      <c r="Z109" s="54"/>
      <c r="AA109" s="54"/>
      <c r="AB109" s="54"/>
      <c r="AC109" s="54"/>
      <c r="AD109" s="54"/>
      <c r="AE109" s="54"/>
    </row>
    <row r="110" spans="1:31" s="78" customFormat="1" ht="24" customHeight="1">
      <c r="A110" s="136" t="s">
        <v>87</v>
      </c>
      <c r="B110" s="68" t="s">
        <v>88</v>
      </c>
      <c r="C110" s="66" t="s">
        <v>30</v>
      </c>
      <c r="D110" s="66" t="s">
        <v>30</v>
      </c>
      <c r="E110" s="62">
        <v>16.34</v>
      </c>
      <c r="F110" s="62">
        <v>16.34</v>
      </c>
      <c r="G110" s="62">
        <v>6.6</v>
      </c>
      <c r="H110" s="62">
        <v>6.6</v>
      </c>
      <c r="I110" s="62">
        <v>9</v>
      </c>
      <c r="J110" s="63">
        <v>9</v>
      </c>
      <c r="K110" s="63">
        <v>1.8</v>
      </c>
      <c r="L110" s="63">
        <v>1.8</v>
      </c>
      <c r="M110" s="63">
        <v>115</v>
      </c>
      <c r="N110" s="63">
        <v>115</v>
      </c>
      <c r="O110" s="70">
        <v>0.05</v>
      </c>
      <c r="P110" s="70">
        <v>0.05</v>
      </c>
      <c r="Q110" s="121">
        <v>0.08</v>
      </c>
      <c r="R110" s="121">
        <v>0.08</v>
      </c>
      <c r="S110" s="121">
        <v>0.35</v>
      </c>
      <c r="T110" s="121">
        <v>0.35</v>
      </c>
      <c r="U110" s="121">
        <v>77.36</v>
      </c>
      <c r="V110" s="121">
        <v>77.36</v>
      </c>
      <c r="W110" s="121">
        <v>1.17</v>
      </c>
      <c r="X110" s="122">
        <v>1.17</v>
      </c>
      <c r="Y110" s="123"/>
      <c r="Z110" s="85"/>
      <c r="AA110" s="85"/>
      <c r="AB110" s="85"/>
      <c r="AC110" s="85"/>
      <c r="AD110" s="85"/>
      <c r="AE110" s="85"/>
    </row>
    <row r="111" spans="1:31" ht="15" customHeight="1">
      <c r="A111" s="136" t="s">
        <v>29</v>
      </c>
      <c r="B111" s="68" t="s">
        <v>27</v>
      </c>
      <c r="C111" s="66" t="s">
        <v>82</v>
      </c>
      <c r="D111" s="66" t="s">
        <v>106</v>
      </c>
      <c r="E111" s="133">
        <v>3.33</v>
      </c>
      <c r="F111" s="133">
        <v>2.56</v>
      </c>
      <c r="G111" s="63">
        <f>H111*130/100</f>
        <v>4.965999999999999</v>
      </c>
      <c r="H111" s="63">
        <v>3.82</v>
      </c>
      <c r="I111" s="63">
        <f>J111*130/100</f>
        <v>4.407</v>
      </c>
      <c r="J111" s="63">
        <v>3.39</v>
      </c>
      <c r="K111" s="63">
        <f>L111*130/100</f>
        <v>27.026999999999997</v>
      </c>
      <c r="L111" s="63">
        <v>20.79</v>
      </c>
      <c r="M111" s="63">
        <f>N111*130/100</f>
        <v>167.7</v>
      </c>
      <c r="N111" s="63">
        <v>129</v>
      </c>
      <c r="O111" s="67">
        <v>0.09</v>
      </c>
      <c r="P111" s="63">
        <f>O111/1.5</f>
        <v>0.06</v>
      </c>
      <c r="Q111" s="67">
        <v>0.06</v>
      </c>
      <c r="R111" s="63">
        <f>Q111/1.5</f>
        <v>0.04</v>
      </c>
      <c r="S111" s="67">
        <v>0</v>
      </c>
      <c r="T111" s="63">
        <f>S111/1.5</f>
        <v>0</v>
      </c>
      <c r="U111" s="67">
        <v>12.89</v>
      </c>
      <c r="V111" s="63">
        <f>U111/1.5</f>
        <v>8.593333333333334</v>
      </c>
      <c r="W111" s="67">
        <v>0.78</v>
      </c>
      <c r="X111" s="84">
        <f>W111/1.5</f>
        <v>0.52</v>
      </c>
      <c r="Y111" s="54"/>
      <c r="Z111" s="54"/>
      <c r="AA111" s="54"/>
      <c r="AB111" s="54"/>
      <c r="AC111" s="54"/>
      <c r="AD111" s="54"/>
      <c r="AE111" s="54"/>
    </row>
    <row r="112" spans="1:31" ht="27" customHeight="1">
      <c r="A112" s="137" t="s">
        <v>121</v>
      </c>
      <c r="B112" s="115" t="s">
        <v>108</v>
      </c>
      <c r="C112" s="110">
        <v>200</v>
      </c>
      <c r="D112" s="110">
        <v>150</v>
      </c>
      <c r="E112" s="62">
        <v>1.49</v>
      </c>
      <c r="F112" s="62">
        <v>1.12</v>
      </c>
      <c r="G112" s="62">
        <v>0.6</v>
      </c>
      <c r="H112" s="63">
        <f>G112*150/200</f>
        <v>0.45</v>
      </c>
      <c r="I112" s="62">
        <v>0</v>
      </c>
      <c r="J112" s="63">
        <f>I112*150/200</f>
        <v>0</v>
      </c>
      <c r="K112" s="62">
        <v>31.4</v>
      </c>
      <c r="L112" s="63">
        <f>K112*150/200</f>
        <v>23.55</v>
      </c>
      <c r="M112" s="62">
        <v>124</v>
      </c>
      <c r="N112" s="63">
        <f>M112*150/200</f>
        <v>93</v>
      </c>
      <c r="O112" s="63">
        <v>0.02</v>
      </c>
      <c r="P112" s="63">
        <f>O112*150/200</f>
        <v>0.015</v>
      </c>
      <c r="Q112" s="63">
        <v>0.03</v>
      </c>
      <c r="R112" s="63">
        <f>Q112*150/200</f>
        <v>0.0225</v>
      </c>
      <c r="S112" s="63">
        <v>0.45</v>
      </c>
      <c r="T112" s="63">
        <f>S112*150/200</f>
        <v>0.3375</v>
      </c>
      <c r="U112" s="63">
        <v>12.3</v>
      </c>
      <c r="V112" s="63">
        <f>U112*150/200</f>
        <v>9.225</v>
      </c>
      <c r="W112" s="71">
        <v>2</v>
      </c>
      <c r="X112" s="84">
        <f>W112*150/200</f>
        <v>1.5</v>
      </c>
      <c r="Y112" s="54"/>
      <c r="Z112" s="54"/>
      <c r="AA112" s="54"/>
      <c r="AB112" s="54"/>
      <c r="AC112" s="54"/>
      <c r="AD112" s="54"/>
      <c r="AE112" s="54"/>
    </row>
    <row r="113" spans="1:31" s="16" customFormat="1" ht="15" customHeight="1">
      <c r="A113" s="135"/>
      <c r="B113" s="23" t="s">
        <v>11</v>
      </c>
      <c r="C113" s="44" t="s">
        <v>14</v>
      </c>
      <c r="D113" s="44" t="s">
        <v>14</v>
      </c>
      <c r="E113" s="28">
        <v>1.11</v>
      </c>
      <c r="F113" s="28">
        <v>1.11</v>
      </c>
      <c r="G113" s="28">
        <v>1.6</v>
      </c>
      <c r="H113" s="28">
        <v>1.6</v>
      </c>
      <c r="I113" s="28">
        <v>0.4</v>
      </c>
      <c r="J113" s="28">
        <v>0.4</v>
      </c>
      <c r="K113" s="28">
        <v>10</v>
      </c>
      <c r="L113" s="28">
        <v>10</v>
      </c>
      <c r="M113" s="29">
        <v>54</v>
      </c>
      <c r="N113" s="29">
        <v>54</v>
      </c>
      <c r="O113" s="43">
        <v>0.04</v>
      </c>
      <c r="P113" s="48">
        <v>0.04</v>
      </c>
      <c r="Q113" s="43">
        <v>0.02</v>
      </c>
      <c r="R113" s="48">
        <v>0.02</v>
      </c>
      <c r="S113" s="43">
        <v>0</v>
      </c>
      <c r="T113" s="48">
        <v>0</v>
      </c>
      <c r="U113" s="43">
        <v>7.4</v>
      </c>
      <c r="V113" s="48">
        <v>7.4</v>
      </c>
      <c r="W113" s="43">
        <v>0.56</v>
      </c>
      <c r="X113" s="48">
        <v>0.56</v>
      </c>
      <c r="Y113" s="57"/>
      <c r="Z113" s="57"/>
      <c r="AA113" s="57"/>
      <c r="AB113" s="57"/>
      <c r="AC113" s="57"/>
      <c r="AD113" s="57"/>
      <c r="AE113" s="57"/>
    </row>
    <row r="114" spans="1:31" ht="15" customHeight="1">
      <c r="A114" s="135"/>
      <c r="B114" s="23" t="s">
        <v>48</v>
      </c>
      <c r="C114" s="44" t="s">
        <v>83</v>
      </c>
      <c r="D114" s="44" t="s">
        <v>84</v>
      </c>
      <c r="E114" s="28">
        <v>2.09</v>
      </c>
      <c r="F114" s="28">
        <v>1.83</v>
      </c>
      <c r="G114" s="28">
        <v>3.25</v>
      </c>
      <c r="H114" s="29">
        <v>2.84</v>
      </c>
      <c r="I114" s="29">
        <v>0.46</v>
      </c>
      <c r="J114" s="29">
        <f>I114*40.6/46</f>
        <v>0.406</v>
      </c>
      <c r="K114" s="29">
        <v>20.88</v>
      </c>
      <c r="L114" s="29">
        <v>18.27</v>
      </c>
      <c r="M114" s="29">
        <v>102.08</v>
      </c>
      <c r="N114" s="29">
        <v>89.32</v>
      </c>
      <c r="O114" s="41">
        <v>0.06</v>
      </c>
      <c r="P114" s="45">
        <v>0.04</v>
      </c>
      <c r="Q114" s="41">
        <v>0.04</v>
      </c>
      <c r="R114" s="45">
        <v>0.03</v>
      </c>
      <c r="S114" s="41">
        <v>0</v>
      </c>
      <c r="T114" s="29">
        <f>S114*40.6/46</f>
        <v>0</v>
      </c>
      <c r="U114" s="43">
        <v>17</v>
      </c>
      <c r="V114" s="48">
        <v>13.6</v>
      </c>
      <c r="W114" s="43">
        <v>1.15</v>
      </c>
      <c r="X114" s="48">
        <v>0.92</v>
      </c>
      <c r="Y114" s="54"/>
      <c r="Z114" s="54"/>
      <c r="AA114" s="54"/>
      <c r="AB114" s="54"/>
      <c r="AC114" s="54"/>
      <c r="AD114" s="54"/>
      <c r="AE114" s="54"/>
    </row>
    <row r="115" spans="1:31" ht="15" customHeight="1">
      <c r="A115" s="22"/>
      <c r="B115" s="23" t="s">
        <v>7</v>
      </c>
      <c r="C115" s="44"/>
      <c r="D115" s="44"/>
      <c r="E115" s="17">
        <f>SUM(E108:E114)</f>
        <v>41.39999999999999</v>
      </c>
      <c r="F115" s="17">
        <f>SUM(F108:F114)</f>
        <v>37.87</v>
      </c>
      <c r="G115" s="17">
        <f>SUM(G108:G114)-3</f>
        <v>20.856</v>
      </c>
      <c r="H115" s="17">
        <f>SUM(H108:H114)-1</f>
        <v>20.465</v>
      </c>
      <c r="I115" s="17">
        <f aca="true" t="shared" si="24" ref="I115:T115">SUM(I108:I114)</f>
        <v>24.267</v>
      </c>
      <c r="J115" s="17">
        <f t="shared" si="24"/>
        <v>22.033499999999997</v>
      </c>
      <c r="K115" s="17">
        <f>SUM(K108:K114)+7</f>
        <v>118.11699999999999</v>
      </c>
      <c r="L115" s="17">
        <f>SUM(L108:L114)+0</f>
        <v>89.41749999999999</v>
      </c>
      <c r="M115" s="17">
        <f>SUM(M108:M114)-0</f>
        <v>760.43</v>
      </c>
      <c r="N115" s="17">
        <f>SUM(N108:N114)-65</f>
        <v>579.8074999999999</v>
      </c>
      <c r="O115" s="17">
        <f t="shared" si="24"/>
        <v>0.4</v>
      </c>
      <c r="P115" s="17">
        <f t="shared" si="24"/>
        <v>0.365</v>
      </c>
      <c r="Q115" s="17">
        <f t="shared" si="24"/>
        <v>0.27999999999999997</v>
      </c>
      <c r="R115" s="17">
        <f t="shared" si="24"/>
        <v>0.3025</v>
      </c>
      <c r="S115" s="17">
        <f t="shared" si="24"/>
        <v>19.76</v>
      </c>
      <c r="T115" s="17">
        <f t="shared" si="24"/>
        <v>15.1325</v>
      </c>
      <c r="U115" s="17">
        <f>SUM(U108:U114)</f>
        <v>181.972</v>
      </c>
      <c r="V115" s="17">
        <f>SUM(V108:V114)</f>
        <v>162.25983333333332</v>
      </c>
      <c r="W115" s="17">
        <f>SUM(W108:W114)</f>
        <v>7.73</v>
      </c>
      <c r="X115" s="17">
        <f>SUM(X108:X114)</f>
        <v>6.460000000000001</v>
      </c>
      <c r="Y115" s="73">
        <f>SUM(Y108:Y114)</f>
        <v>0</v>
      </c>
      <c r="Z115" s="59"/>
      <c r="AA115" s="59"/>
      <c r="AB115" s="59"/>
      <c r="AC115" s="59"/>
      <c r="AD115" s="54"/>
      <c r="AE115" s="54"/>
    </row>
    <row r="116" spans="1:31" ht="15" customHeight="1">
      <c r="A116" s="22"/>
      <c r="B116" s="93" t="s">
        <v>12</v>
      </c>
      <c r="C116" s="44"/>
      <c r="D116" s="4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2"/>
      <c r="P116" s="42"/>
      <c r="Q116" s="42"/>
      <c r="R116" s="42"/>
      <c r="S116" s="42"/>
      <c r="T116" s="42"/>
      <c r="U116" s="42"/>
      <c r="V116" s="42"/>
      <c r="W116" s="42"/>
      <c r="X116" s="76"/>
      <c r="Y116" s="55"/>
      <c r="Z116" s="54"/>
      <c r="AA116" s="54"/>
      <c r="AB116" s="54"/>
      <c r="AC116" s="54"/>
      <c r="AD116" s="54"/>
      <c r="AE116" s="54"/>
    </row>
    <row r="117" spans="1:31" ht="15" customHeight="1">
      <c r="A117" s="135" t="s">
        <v>23</v>
      </c>
      <c r="B117" s="23" t="s">
        <v>20</v>
      </c>
      <c r="C117" s="44" t="s">
        <v>31</v>
      </c>
      <c r="D117" s="44" t="s">
        <v>31</v>
      </c>
      <c r="E117" s="28">
        <v>10.36</v>
      </c>
      <c r="F117" s="28">
        <v>10.36</v>
      </c>
      <c r="G117" s="28">
        <v>5.31</v>
      </c>
      <c r="H117" s="29">
        <v>5.31</v>
      </c>
      <c r="I117" s="28">
        <v>4.5</v>
      </c>
      <c r="J117" s="29">
        <v>4.5</v>
      </c>
      <c r="K117" s="28">
        <v>8.91</v>
      </c>
      <c r="L117" s="29">
        <v>8.91</v>
      </c>
      <c r="M117" s="28">
        <v>97.38</v>
      </c>
      <c r="N117" s="29">
        <v>97.38</v>
      </c>
      <c r="O117" s="28">
        <v>0.07</v>
      </c>
      <c r="P117" s="29">
        <v>0.07</v>
      </c>
      <c r="Q117" s="28">
        <v>0.3</v>
      </c>
      <c r="R117" s="29">
        <v>0.3</v>
      </c>
      <c r="S117" s="28">
        <v>2.46</v>
      </c>
      <c r="T117" s="29">
        <v>2.46</v>
      </c>
      <c r="U117" s="28">
        <v>275.74</v>
      </c>
      <c r="V117" s="29">
        <v>275.74</v>
      </c>
      <c r="W117" s="28">
        <v>0.23</v>
      </c>
      <c r="X117" s="29">
        <v>0.23</v>
      </c>
      <c r="Y117" s="58"/>
      <c r="Z117" s="58"/>
      <c r="AA117" s="58"/>
      <c r="AB117" s="58"/>
      <c r="AC117" s="58"/>
      <c r="AD117" s="58"/>
      <c r="AE117" s="54"/>
    </row>
    <row r="118" spans="1:31" s="8" customFormat="1" ht="15" customHeight="1">
      <c r="A118" s="61"/>
      <c r="B118" s="65" t="s">
        <v>7</v>
      </c>
      <c r="C118" s="66"/>
      <c r="D118" s="66"/>
      <c r="E118" s="82">
        <f>SUM(E117)</f>
        <v>10.36</v>
      </c>
      <c r="F118" s="82">
        <f>SUM(F117)</f>
        <v>10.36</v>
      </c>
      <c r="G118" s="82">
        <f aca="true" t="shared" si="25" ref="G118:T118">SUM(G117)</f>
        <v>5.31</v>
      </c>
      <c r="H118" s="82">
        <f t="shared" si="25"/>
        <v>5.31</v>
      </c>
      <c r="I118" s="82">
        <f t="shared" si="25"/>
        <v>4.5</v>
      </c>
      <c r="J118" s="82">
        <f t="shared" si="25"/>
        <v>4.5</v>
      </c>
      <c r="K118" s="82">
        <f t="shared" si="25"/>
        <v>8.91</v>
      </c>
      <c r="L118" s="82">
        <f t="shared" si="25"/>
        <v>8.91</v>
      </c>
      <c r="M118" s="82">
        <f t="shared" si="25"/>
        <v>97.38</v>
      </c>
      <c r="N118" s="82">
        <f t="shared" si="25"/>
        <v>97.38</v>
      </c>
      <c r="O118" s="82">
        <f t="shared" si="25"/>
        <v>0.07</v>
      </c>
      <c r="P118" s="82">
        <f t="shared" si="25"/>
        <v>0.07</v>
      </c>
      <c r="Q118" s="82">
        <f t="shared" si="25"/>
        <v>0.3</v>
      </c>
      <c r="R118" s="82">
        <f t="shared" si="25"/>
        <v>0.3</v>
      </c>
      <c r="S118" s="82">
        <f t="shared" si="25"/>
        <v>2.46</v>
      </c>
      <c r="T118" s="82">
        <f t="shared" si="25"/>
        <v>2.46</v>
      </c>
      <c r="U118" s="82" t="e">
        <f>SUM(#REF!)</f>
        <v>#REF!</v>
      </c>
      <c r="V118" s="82" t="e">
        <f>SUM(#REF!)</f>
        <v>#REF!</v>
      </c>
      <c r="W118" s="82" t="e">
        <f>SUM(#REF!)</f>
        <v>#REF!</v>
      </c>
      <c r="X118" s="83" t="e">
        <f>SUM(#REF!)</f>
        <v>#REF!</v>
      </c>
      <c r="Y118" s="64"/>
      <c r="Z118" s="59"/>
      <c r="AA118" s="59"/>
      <c r="AB118" s="59"/>
      <c r="AC118" s="59"/>
      <c r="AD118" s="112"/>
      <c r="AE118" s="112"/>
    </row>
    <row r="119" spans="1:31" ht="15" customHeight="1">
      <c r="A119" s="22"/>
      <c r="B119" s="93" t="s">
        <v>13</v>
      </c>
      <c r="C119" s="44"/>
      <c r="D119" s="44"/>
      <c r="E119" s="28"/>
      <c r="F119" s="28"/>
      <c r="G119" s="28"/>
      <c r="H119" s="29"/>
      <c r="I119" s="29"/>
      <c r="J119" s="29"/>
      <c r="K119" s="29"/>
      <c r="L119" s="29"/>
      <c r="M119" s="29"/>
      <c r="N119" s="29"/>
      <c r="O119" s="42"/>
      <c r="P119" s="42"/>
      <c r="Q119" s="42"/>
      <c r="R119" s="42"/>
      <c r="S119" s="42"/>
      <c r="T119" s="42"/>
      <c r="U119" s="42"/>
      <c r="V119" s="42"/>
      <c r="W119" s="42"/>
      <c r="X119" s="76"/>
      <c r="Y119" s="55"/>
      <c r="Z119" s="54"/>
      <c r="AA119" s="54"/>
      <c r="AB119" s="54"/>
      <c r="AC119" s="54"/>
      <c r="AD119" s="54"/>
      <c r="AE119" s="54"/>
    </row>
    <row r="120" spans="1:29" s="1" customFormat="1" ht="25.5" customHeight="1">
      <c r="A120" s="140" t="s">
        <v>96</v>
      </c>
      <c r="B120" s="23" t="s">
        <v>147</v>
      </c>
      <c r="C120" s="44" t="s">
        <v>97</v>
      </c>
      <c r="D120" s="44" t="s">
        <v>68</v>
      </c>
      <c r="E120" s="28">
        <v>52.35</v>
      </c>
      <c r="F120" s="28">
        <v>37.3</v>
      </c>
      <c r="G120" s="28">
        <v>28.6</v>
      </c>
      <c r="H120" s="29">
        <v>19.64</v>
      </c>
      <c r="I120" s="28">
        <v>20.35</v>
      </c>
      <c r="J120" s="29">
        <v>14.92</v>
      </c>
      <c r="K120" s="28">
        <v>21.06</v>
      </c>
      <c r="L120" s="29">
        <v>18</v>
      </c>
      <c r="M120" s="28">
        <v>381.79</v>
      </c>
      <c r="N120" s="29">
        <v>284.84</v>
      </c>
      <c r="O120" s="28">
        <v>0.1</v>
      </c>
      <c r="P120" s="29">
        <f>O120*150/200</f>
        <v>0.075</v>
      </c>
      <c r="Q120" s="28">
        <v>0.44</v>
      </c>
      <c r="R120" s="29">
        <f>Q120*150/200</f>
        <v>0.33</v>
      </c>
      <c r="S120" s="28">
        <v>0.46</v>
      </c>
      <c r="T120" s="29">
        <v>0.41</v>
      </c>
      <c r="U120" s="28">
        <v>262.15</v>
      </c>
      <c r="V120" s="29">
        <f>U120*150/200</f>
        <v>196.6125</v>
      </c>
      <c r="W120" s="28">
        <v>1.04</v>
      </c>
      <c r="X120" s="29">
        <f>W120*150/200</f>
        <v>0.78</v>
      </c>
      <c r="Z120" s="58"/>
      <c r="AA120" s="58"/>
      <c r="AB120" s="58"/>
      <c r="AC120" s="58"/>
    </row>
    <row r="121" spans="1:31" ht="15" customHeight="1">
      <c r="A121" s="136" t="s">
        <v>92</v>
      </c>
      <c r="B121" s="68" t="s">
        <v>93</v>
      </c>
      <c r="C121" s="66" t="s">
        <v>5</v>
      </c>
      <c r="D121" s="66" t="s">
        <v>6</v>
      </c>
      <c r="E121" s="62">
        <v>0.51</v>
      </c>
      <c r="F121" s="62">
        <v>0.38</v>
      </c>
      <c r="G121" s="62">
        <v>0.18</v>
      </c>
      <c r="H121" s="63">
        <v>0.13</v>
      </c>
      <c r="I121" s="62">
        <f>J121*200/150</f>
        <v>0</v>
      </c>
      <c r="J121" s="63">
        <v>0</v>
      </c>
      <c r="K121" s="62">
        <v>4.78</v>
      </c>
      <c r="L121" s="63">
        <v>3.58</v>
      </c>
      <c r="M121" s="62">
        <v>19.9</v>
      </c>
      <c r="N121" s="63">
        <v>14.92</v>
      </c>
      <c r="O121" s="62">
        <f>P121*200/150</f>
        <v>0.013333333333333334</v>
      </c>
      <c r="P121" s="70">
        <v>0.01</v>
      </c>
      <c r="Q121" s="62">
        <f>R121*200/150</f>
        <v>0.013333333333333334</v>
      </c>
      <c r="R121" s="70">
        <v>0.01</v>
      </c>
      <c r="S121" s="62">
        <v>0.04</v>
      </c>
      <c r="T121" s="70">
        <v>0.03</v>
      </c>
      <c r="U121" s="62">
        <f>V121*200/150</f>
        <v>5.053333333333334</v>
      </c>
      <c r="V121" s="70">
        <v>3.79</v>
      </c>
      <c r="W121" s="62">
        <f>X121*200/150</f>
        <v>0.84</v>
      </c>
      <c r="X121" s="124">
        <v>0.63</v>
      </c>
      <c r="Y121" s="54"/>
      <c r="Z121" s="54"/>
      <c r="AA121" s="54"/>
      <c r="AB121" s="54"/>
      <c r="AC121" s="54"/>
      <c r="AD121" s="54"/>
      <c r="AE121" s="54"/>
    </row>
    <row r="122" spans="1:31" s="16" customFormat="1" ht="15" customHeight="1">
      <c r="A122" s="135"/>
      <c r="B122" s="23" t="s">
        <v>11</v>
      </c>
      <c r="C122" s="44" t="s">
        <v>14</v>
      </c>
      <c r="D122" s="44" t="s">
        <v>14</v>
      </c>
      <c r="E122" s="28">
        <v>1.11</v>
      </c>
      <c r="F122" s="28">
        <v>1.11</v>
      </c>
      <c r="G122" s="28">
        <v>1.6</v>
      </c>
      <c r="H122" s="28">
        <v>1.6</v>
      </c>
      <c r="I122" s="28">
        <v>0.4</v>
      </c>
      <c r="J122" s="28">
        <v>0.4</v>
      </c>
      <c r="K122" s="28">
        <v>10</v>
      </c>
      <c r="L122" s="28">
        <v>10</v>
      </c>
      <c r="M122" s="29">
        <v>54</v>
      </c>
      <c r="N122" s="29">
        <v>54</v>
      </c>
      <c r="O122" s="43">
        <v>0.04</v>
      </c>
      <c r="P122" s="48">
        <v>0.04</v>
      </c>
      <c r="Q122" s="43">
        <v>0.02</v>
      </c>
      <c r="R122" s="48">
        <v>0.02</v>
      </c>
      <c r="S122" s="43">
        <v>0</v>
      </c>
      <c r="T122" s="48">
        <v>0</v>
      </c>
      <c r="U122" s="43">
        <v>7.4</v>
      </c>
      <c r="V122" s="48">
        <v>7.4</v>
      </c>
      <c r="W122" s="43">
        <v>0.56</v>
      </c>
      <c r="X122" s="48">
        <v>0.56</v>
      </c>
      <c r="Y122" s="57"/>
      <c r="Z122" s="57"/>
      <c r="AA122" s="57"/>
      <c r="AB122" s="57"/>
      <c r="AC122" s="57"/>
      <c r="AD122" s="57"/>
      <c r="AE122" s="57"/>
    </row>
    <row r="123" spans="1:31" ht="15" customHeight="1">
      <c r="A123" s="22"/>
      <c r="B123" s="23" t="s">
        <v>7</v>
      </c>
      <c r="C123" s="44"/>
      <c r="D123" s="44"/>
      <c r="E123" s="17">
        <f>SUM(E120:E122)</f>
        <v>53.97</v>
      </c>
      <c r="F123" s="17">
        <f>SUM(F120:F122)</f>
        <v>38.79</v>
      </c>
      <c r="G123" s="17">
        <f aca="true" t="shared" si="26" ref="G123:T123">SUM(G120:G122)</f>
        <v>30.380000000000003</v>
      </c>
      <c r="H123" s="17">
        <f t="shared" si="26"/>
        <v>21.37</v>
      </c>
      <c r="I123" s="17">
        <f t="shared" si="26"/>
        <v>20.75</v>
      </c>
      <c r="J123" s="17">
        <f t="shared" si="26"/>
        <v>15.32</v>
      </c>
      <c r="K123" s="17">
        <f t="shared" si="26"/>
        <v>35.84</v>
      </c>
      <c r="L123" s="17">
        <f t="shared" si="26"/>
        <v>31.58</v>
      </c>
      <c r="M123" s="17">
        <f t="shared" si="26"/>
        <v>455.69</v>
      </c>
      <c r="N123" s="17">
        <f t="shared" si="26"/>
        <v>353.76</v>
      </c>
      <c r="O123" s="17">
        <f t="shared" si="26"/>
        <v>0.15333333333333335</v>
      </c>
      <c r="P123" s="17">
        <f t="shared" si="26"/>
        <v>0.125</v>
      </c>
      <c r="Q123" s="17">
        <f t="shared" si="26"/>
        <v>0.47333333333333333</v>
      </c>
      <c r="R123" s="17">
        <f t="shared" si="26"/>
        <v>0.36000000000000004</v>
      </c>
      <c r="S123" s="17">
        <f t="shared" si="26"/>
        <v>0.5</v>
      </c>
      <c r="T123" s="17">
        <f t="shared" si="26"/>
        <v>0.43999999999999995</v>
      </c>
      <c r="U123" s="17">
        <f>SUM(U120:U122)</f>
        <v>274.6033333333333</v>
      </c>
      <c r="V123" s="17">
        <f>SUM(V120:V122)</f>
        <v>207.8025</v>
      </c>
      <c r="W123" s="17">
        <f>SUM(W120:W122)</f>
        <v>2.44</v>
      </c>
      <c r="X123" s="17">
        <f>SUM(X120:X122)</f>
        <v>1.9700000000000002</v>
      </c>
      <c r="Y123" s="73">
        <f>SUM(Y120:Y122)</f>
        <v>0</v>
      </c>
      <c r="Z123" s="59"/>
      <c r="AA123" s="59"/>
      <c r="AB123" s="59"/>
      <c r="AC123" s="59"/>
      <c r="AD123" s="153"/>
      <c r="AE123" s="153"/>
    </row>
    <row r="124" spans="1:31" ht="15" customHeight="1">
      <c r="A124" s="22"/>
      <c r="B124" s="23" t="s">
        <v>15</v>
      </c>
      <c r="C124" s="44"/>
      <c r="D124" s="44"/>
      <c r="E124" s="17">
        <f>E123+E118+E115+E106+E103</f>
        <v>131.54999999999998</v>
      </c>
      <c r="F124" s="17">
        <f>F123+F118+F115+F106+F103</f>
        <v>109.34</v>
      </c>
      <c r="G124" s="17">
        <f aca="true" t="shared" si="27" ref="G124:T124">G123+G118+G115+G106+G103</f>
        <v>65.52600000000001</v>
      </c>
      <c r="H124" s="17">
        <f t="shared" si="27"/>
        <v>55.355</v>
      </c>
      <c r="I124" s="17">
        <f t="shared" si="27"/>
        <v>61.516999999999996</v>
      </c>
      <c r="J124" s="17">
        <f t="shared" si="27"/>
        <v>53.2835</v>
      </c>
      <c r="K124" s="17">
        <f t="shared" si="27"/>
        <v>232.677</v>
      </c>
      <c r="L124" s="17">
        <f t="shared" si="27"/>
        <v>194.23749999999995</v>
      </c>
      <c r="M124" s="17">
        <f t="shared" si="27"/>
        <v>1736.5800000000002</v>
      </c>
      <c r="N124" s="17">
        <f t="shared" si="27"/>
        <v>1423.9874999999997</v>
      </c>
      <c r="O124" s="17">
        <f t="shared" si="27"/>
        <v>0.8973333333333334</v>
      </c>
      <c r="P124" s="17">
        <f t="shared" si="27"/>
        <v>0.7575000000000001</v>
      </c>
      <c r="Q124" s="17">
        <f t="shared" si="27"/>
        <v>1.4973333333333332</v>
      </c>
      <c r="R124" s="17">
        <f t="shared" si="27"/>
        <v>1.2975</v>
      </c>
      <c r="S124" s="17">
        <f t="shared" si="27"/>
        <v>27.35</v>
      </c>
      <c r="T124" s="17">
        <f t="shared" si="27"/>
        <v>22.432499999999997</v>
      </c>
      <c r="U124" s="17" t="e">
        <f>U123+U118+U115+U106+U103</f>
        <v>#REF!</v>
      </c>
      <c r="V124" s="17" t="e">
        <f>V123+V118+V115+V106+V103</f>
        <v>#REF!</v>
      </c>
      <c r="W124" s="17" t="e">
        <f>W123+W118+W115+W106+W103</f>
        <v>#REF!</v>
      </c>
      <c r="X124" s="17" t="e">
        <f>X123+X118+X115+X106+X103</f>
        <v>#REF!</v>
      </c>
      <c r="Y124" s="73">
        <f>Y123+Y118+Y115+Y106+Y103</f>
        <v>0</v>
      </c>
      <c r="Z124" s="59"/>
      <c r="AA124" s="59"/>
      <c r="AB124" s="59"/>
      <c r="AC124" s="59"/>
      <c r="AD124" s="154"/>
      <c r="AE124" s="154"/>
    </row>
    <row r="125" spans="1:31" ht="15" customHeight="1">
      <c r="A125" s="22"/>
      <c r="B125" s="92" t="s">
        <v>160</v>
      </c>
      <c r="C125" s="44"/>
      <c r="D125" s="44"/>
      <c r="E125" s="28"/>
      <c r="F125" s="17"/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42"/>
      <c r="U125" s="42"/>
      <c r="V125" s="42"/>
      <c r="W125" s="42"/>
      <c r="X125" s="76"/>
      <c r="Y125" s="55"/>
      <c r="Z125" s="54"/>
      <c r="AA125" s="54"/>
      <c r="AB125" s="54"/>
      <c r="AC125" s="54"/>
      <c r="AD125" s="54"/>
      <c r="AE125" s="54"/>
    </row>
    <row r="126" spans="1:31" ht="15" customHeight="1">
      <c r="A126" s="22"/>
      <c r="B126" s="93" t="s">
        <v>18</v>
      </c>
      <c r="C126" s="44"/>
      <c r="D126" s="44"/>
      <c r="E126" s="28"/>
      <c r="F126" s="28"/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42"/>
      <c r="U126" s="42"/>
      <c r="V126" s="42"/>
      <c r="W126" s="42"/>
      <c r="X126" s="76"/>
      <c r="Y126" s="55"/>
      <c r="Z126" s="54"/>
      <c r="AA126" s="54"/>
      <c r="AB126" s="54"/>
      <c r="AC126" s="54"/>
      <c r="AD126" s="54"/>
      <c r="AE126" s="54"/>
    </row>
    <row r="127" spans="1:30" s="1" customFormat="1" ht="14.25" customHeight="1">
      <c r="A127" s="135" t="s">
        <v>69</v>
      </c>
      <c r="B127" s="23" t="s">
        <v>177</v>
      </c>
      <c r="C127" s="44" t="s">
        <v>91</v>
      </c>
      <c r="D127" s="44" t="s">
        <v>91</v>
      </c>
      <c r="E127" s="28">
        <v>4.35</v>
      </c>
      <c r="F127" s="28">
        <v>4.35</v>
      </c>
      <c r="G127" s="28">
        <v>2.9</v>
      </c>
      <c r="H127" s="29">
        <v>2.9</v>
      </c>
      <c r="I127" s="28">
        <v>1.95</v>
      </c>
      <c r="J127" s="29">
        <v>1.95</v>
      </c>
      <c r="K127" s="28">
        <v>10.4</v>
      </c>
      <c r="L127" s="29">
        <v>10.4</v>
      </c>
      <c r="M127" s="28">
        <v>70.75</v>
      </c>
      <c r="N127" s="29">
        <v>70.75</v>
      </c>
      <c r="O127" s="88">
        <v>0.08</v>
      </c>
      <c r="P127" s="88">
        <f>O127*40/60</f>
        <v>0.05333333333333334</v>
      </c>
      <c r="Q127" s="88">
        <v>0.06</v>
      </c>
      <c r="R127" s="88">
        <f>Q127*40/60</f>
        <v>0.04</v>
      </c>
      <c r="S127" s="28">
        <v>0.14</v>
      </c>
      <c r="T127" s="29">
        <v>0.14</v>
      </c>
      <c r="U127" s="29">
        <v>70.8</v>
      </c>
      <c r="V127" s="29">
        <f>U127*40/60</f>
        <v>47.2</v>
      </c>
      <c r="W127" s="29">
        <v>0.81</v>
      </c>
      <c r="X127" s="75">
        <f>W127*40/60</f>
        <v>0.5400000000000001</v>
      </c>
      <c r="Y127" s="60"/>
      <c r="Z127" s="58"/>
      <c r="AA127" s="58"/>
      <c r="AB127" s="58"/>
      <c r="AC127" s="58"/>
      <c r="AD127" s="58"/>
    </row>
    <row r="128" spans="1:31" ht="15" customHeight="1">
      <c r="A128" s="136" t="s">
        <v>65</v>
      </c>
      <c r="B128" s="65" t="s">
        <v>66</v>
      </c>
      <c r="C128" s="66" t="s">
        <v>67</v>
      </c>
      <c r="D128" s="66" t="s">
        <v>67</v>
      </c>
      <c r="E128" s="62">
        <v>5.19</v>
      </c>
      <c r="F128" s="62">
        <v>5.19</v>
      </c>
      <c r="G128" s="62">
        <v>5.1</v>
      </c>
      <c r="H128" s="62">
        <v>5.1</v>
      </c>
      <c r="I128" s="63">
        <v>4.6</v>
      </c>
      <c r="J128" s="63">
        <v>4.6</v>
      </c>
      <c r="K128" s="63">
        <v>0.3</v>
      </c>
      <c r="L128" s="63">
        <v>0.3</v>
      </c>
      <c r="M128" s="63">
        <v>63</v>
      </c>
      <c r="N128" s="63">
        <v>63</v>
      </c>
      <c r="O128" s="72">
        <v>0.03</v>
      </c>
      <c r="P128" s="72">
        <v>0.03</v>
      </c>
      <c r="Q128" s="72">
        <v>0.18</v>
      </c>
      <c r="R128" s="72">
        <v>0.18</v>
      </c>
      <c r="S128" s="72">
        <v>0</v>
      </c>
      <c r="T128" s="72">
        <v>0</v>
      </c>
      <c r="U128" s="72">
        <v>22</v>
      </c>
      <c r="V128" s="72">
        <v>22</v>
      </c>
      <c r="W128" s="72">
        <v>1.08</v>
      </c>
      <c r="X128" s="109">
        <v>1.08</v>
      </c>
      <c r="Y128" s="54"/>
      <c r="Z128" s="54"/>
      <c r="AA128" s="54"/>
      <c r="AB128" s="54"/>
      <c r="AC128" s="54"/>
      <c r="AD128" s="54"/>
      <c r="AE128" s="54"/>
    </row>
    <row r="129" spans="1:24" ht="15" customHeight="1">
      <c r="A129" s="136" t="s">
        <v>85</v>
      </c>
      <c r="B129" s="65" t="s">
        <v>140</v>
      </c>
      <c r="C129" s="110">
        <v>200</v>
      </c>
      <c r="D129" s="110">
        <v>150</v>
      </c>
      <c r="E129" s="62">
        <v>6.91</v>
      </c>
      <c r="F129" s="62">
        <v>5.18</v>
      </c>
      <c r="G129" s="28">
        <v>5.76</v>
      </c>
      <c r="H129" s="28">
        <v>4.32</v>
      </c>
      <c r="I129" s="28">
        <v>6.64</v>
      </c>
      <c r="J129" s="28">
        <v>4.98</v>
      </c>
      <c r="K129" s="28">
        <v>19.28</v>
      </c>
      <c r="L129" s="28">
        <f>K129*150/200</f>
        <v>14.46</v>
      </c>
      <c r="M129" s="28">
        <v>160</v>
      </c>
      <c r="N129" s="28">
        <v>120</v>
      </c>
      <c r="O129" s="29">
        <v>0.09</v>
      </c>
      <c r="P129" s="28">
        <f>O129*150/200</f>
        <v>0.0675</v>
      </c>
      <c r="Q129" s="29">
        <v>0.14</v>
      </c>
      <c r="R129" s="28">
        <f>Q129*150/200</f>
        <v>0.10500000000000002</v>
      </c>
      <c r="S129" s="29">
        <v>0.9</v>
      </c>
      <c r="T129" s="28">
        <v>0.67</v>
      </c>
      <c r="U129" s="63">
        <v>129.32</v>
      </c>
      <c r="V129" s="62">
        <f>U129*150/200</f>
        <v>96.99</v>
      </c>
      <c r="W129" s="63">
        <v>0.42</v>
      </c>
      <c r="X129" s="62">
        <f>W129*150/200</f>
        <v>0.315</v>
      </c>
    </row>
    <row r="130" spans="1:31" ht="15.75" customHeight="1">
      <c r="A130" s="135" t="s">
        <v>51</v>
      </c>
      <c r="B130" s="23" t="s">
        <v>54</v>
      </c>
      <c r="C130" s="44" t="s">
        <v>31</v>
      </c>
      <c r="D130" s="44" t="s">
        <v>6</v>
      </c>
      <c r="E130" s="28">
        <v>5.92</v>
      </c>
      <c r="F130" s="28">
        <v>4.78</v>
      </c>
      <c r="G130" s="28">
        <v>2.85</v>
      </c>
      <c r="H130" s="29">
        <v>2.34</v>
      </c>
      <c r="I130" s="28">
        <v>2.41</v>
      </c>
      <c r="J130" s="29">
        <v>2</v>
      </c>
      <c r="K130" s="28">
        <v>14.36</v>
      </c>
      <c r="L130" s="29">
        <v>10.63</v>
      </c>
      <c r="M130" s="28">
        <v>91</v>
      </c>
      <c r="N130" s="29">
        <v>70</v>
      </c>
      <c r="O130" s="28">
        <f>P130*180/150</f>
        <v>0.012</v>
      </c>
      <c r="P130" s="45">
        <v>0.01</v>
      </c>
      <c r="Q130" s="28">
        <f>R130*180/150</f>
        <v>0.084</v>
      </c>
      <c r="R130" s="45">
        <v>0.07</v>
      </c>
      <c r="S130" s="28">
        <v>1.17</v>
      </c>
      <c r="T130" s="29">
        <f>S130*150/180</f>
        <v>0.975</v>
      </c>
      <c r="U130" s="28">
        <f>V130*180/150</f>
        <v>57.516</v>
      </c>
      <c r="V130" s="45">
        <v>47.93</v>
      </c>
      <c r="W130" s="28">
        <f>X130*180/150</f>
        <v>0.264</v>
      </c>
      <c r="X130" s="45">
        <v>0.22</v>
      </c>
      <c r="Y130" s="54"/>
      <c r="Z130" s="54"/>
      <c r="AA130" s="54"/>
      <c r="AB130" s="54"/>
      <c r="AC130" s="54"/>
      <c r="AD130" s="54"/>
      <c r="AE130" s="54"/>
    </row>
    <row r="131" spans="1:31" ht="15" customHeight="1">
      <c r="A131" s="22"/>
      <c r="B131" s="23" t="s">
        <v>7</v>
      </c>
      <c r="C131" s="44"/>
      <c r="D131" s="44"/>
      <c r="E131" s="17">
        <f>SUM(E127:E130)</f>
        <v>22.369999999999997</v>
      </c>
      <c r="F131" s="17">
        <f>SUM(F127:F130)</f>
        <v>19.5</v>
      </c>
      <c r="G131" s="17">
        <f aca="true" t="shared" si="28" ref="G131:T131">SUM(G127:G130)</f>
        <v>16.61</v>
      </c>
      <c r="H131" s="17">
        <f t="shared" si="28"/>
        <v>14.66</v>
      </c>
      <c r="I131" s="17">
        <f t="shared" si="28"/>
        <v>15.6</v>
      </c>
      <c r="J131" s="17">
        <f t="shared" si="28"/>
        <v>13.530000000000001</v>
      </c>
      <c r="K131" s="17">
        <f t="shared" si="28"/>
        <v>44.34</v>
      </c>
      <c r="L131" s="17">
        <f t="shared" si="28"/>
        <v>35.790000000000006</v>
      </c>
      <c r="M131" s="17">
        <f t="shared" si="28"/>
        <v>384.75</v>
      </c>
      <c r="N131" s="17">
        <f t="shared" si="28"/>
        <v>323.75</v>
      </c>
      <c r="O131" s="17">
        <f t="shared" si="28"/>
        <v>0.21200000000000002</v>
      </c>
      <c r="P131" s="17">
        <f t="shared" si="28"/>
        <v>0.16083333333333336</v>
      </c>
      <c r="Q131" s="17">
        <f t="shared" si="28"/>
        <v>0.464</v>
      </c>
      <c r="R131" s="17">
        <f t="shared" si="28"/>
        <v>0.395</v>
      </c>
      <c r="S131" s="17">
        <f t="shared" si="28"/>
        <v>2.21</v>
      </c>
      <c r="T131" s="17">
        <f t="shared" si="28"/>
        <v>1.7850000000000001</v>
      </c>
      <c r="U131" s="17">
        <f>SUM(U127:U130)</f>
        <v>279.636</v>
      </c>
      <c r="V131" s="17">
        <f>SUM(V127:V130)</f>
        <v>214.12</v>
      </c>
      <c r="W131" s="17">
        <f>SUM(W127:W130)</f>
        <v>2.574</v>
      </c>
      <c r="X131" s="17">
        <f>SUM(X127:X130)</f>
        <v>2.1550000000000002</v>
      </c>
      <c r="Y131" s="64"/>
      <c r="Z131" s="59"/>
      <c r="AA131" s="59"/>
      <c r="AB131" s="59"/>
      <c r="AC131" s="59"/>
      <c r="AD131" s="54"/>
      <c r="AE131" s="54"/>
    </row>
    <row r="132" spans="1:31" ht="15" customHeight="1">
      <c r="A132" s="22"/>
      <c r="B132" s="93" t="s">
        <v>19</v>
      </c>
      <c r="C132" s="44"/>
      <c r="D132" s="44"/>
      <c r="E132" s="28"/>
      <c r="F132" s="28"/>
      <c r="G132" s="28"/>
      <c r="H132" s="46"/>
      <c r="I132" s="46"/>
      <c r="J132" s="46"/>
      <c r="K132" s="46"/>
      <c r="L132" s="46"/>
      <c r="M132" s="46"/>
      <c r="N132" s="46"/>
      <c r="O132" s="42"/>
      <c r="P132" s="42"/>
      <c r="Q132" s="42"/>
      <c r="R132" s="42"/>
      <c r="S132" s="42"/>
      <c r="T132" s="42"/>
      <c r="U132" s="42"/>
      <c r="V132" s="42"/>
      <c r="W132" s="42"/>
      <c r="X132" s="76"/>
      <c r="Y132" s="55"/>
      <c r="Z132" s="54"/>
      <c r="AA132" s="54"/>
      <c r="AB132" s="54"/>
      <c r="AC132" s="54"/>
      <c r="AD132" s="54"/>
      <c r="AE132" s="54"/>
    </row>
    <row r="133" spans="1:30" ht="15" customHeight="1">
      <c r="A133" s="136" t="s">
        <v>25</v>
      </c>
      <c r="B133" s="65" t="s">
        <v>79</v>
      </c>
      <c r="C133" s="66" t="s">
        <v>6</v>
      </c>
      <c r="D133" s="66" t="s">
        <v>150</v>
      </c>
      <c r="E133" s="62">
        <v>12.36</v>
      </c>
      <c r="F133" s="62">
        <v>11.12</v>
      </c>
      <c r="G133" s="67">
        <f>H133*150/135</f>
        <v>4.5</v>
      </c>
      <c r="H133" s="67">
        <v>4.05</v>
      </c>
      <c r="I133" s="67">
        <f>J133*150/135</f>
        <v>3.7555555555555555</v>
      </c>
      <c r="J133" s="67">
        <v>3.38</v>
      </c>
      <c r="K133" s="67">
        <f>L133*150/135</f>
        <v>6</v>
      </c>
      <c r="L133" s="67">
        <v>5.4</v>
      </c>
      <c r="M133" s="67">
        <f>N133*150/135</f>
        <v>75.75555555555557</v>
      </c>
      <c r="N133" s="67">
        <v>68.18</v>
      </c>
      <c r="O133" s="67">
        <f>P133*180/150</f>
        <v>0.06</v>
      </c>
      <c r="P133" s="67">
        <v>0.05</v>
      </c>
      <c r="Q133" s="67">
        <f>R133*180/150</f>
        <v>0.31200000000000006</v>
      </c>
      <c r="R133" s="67">
        <v>0.26</v>
      </c>
      <c r="S133" s="67">
        <f>T133*150/135</f>
        <v>1.1</v>
      </c>
      <c r="T133" s="67">
        <v>0.99</v>
      </c>
      <c r="U133" s="28">
        <v>235.31</v>
      </c>
      <c r="V133" s="29">
        <f>U133*150/180</f>
        <v>196.09166666666667</v>
      </c>
      <c r="W133" s="28">
        <v>0.19</v>
      </c>
      <c r="X133" s="75">
        <f>W133*150/180</f>
        <v>0.15833333333333333</v>
      </c>
      <c r="Y133" s="60"/>
      <c r="Z133" s="58"/>
      <c r="AA133" s="58"/>
      <c r="AB133" s="58"/>
      <c r="AC133" s="58"/>
      <c r="AD133" s="58"/>
    </row>
    <row r="134" spans="1:31" ht="15" customHeight="1">
      <c r="A134" s="22"/>
      <c r="B134" s="23" t="s">
        <v>7</v>
      </c>
      <c r="C134" s="44"/>
      <c r="D134" s="44"/>
      <c r="E134" s="17">
        <f>SUM(E133)</f>
        <v>12.36</v>
      </c>
      <c r="F134" s="17">
        <f>SUM(F133)</f>
        <v>11.12</v>
      </c>
      <c r="G134" s="17">
        <f aca="true" t="shared" si="29" ref="G134:T134">SUM(G133)</f>
        <v>4.5</v>
      </c>
      <c r="H134" s="17">
        <f t="shared" si="29"/>
        <v>4.05</v>
      </c>
      <c r="I134" s="17">
        <f t="shared" si="29"/>
        <v>3.7555555555555555</v>
      </c>
      <c r="J134" s="17">
        <f t="shared" si="29"/>
        <v>3.38</v>
      </c>
      <c r="K134" s="17">
        <f t="shared" si="29"/>
        <v>6</v>
      </c>
      <c r="L134" s="17">
        <f t="shared" si="29"/>
        <v>5.4</v>
      </c>
      <c r="M134" s="17">
        <f t="shared" si="29"/>
        <v>75.75555555555557</v>
      </c>
      <c r="N134" s="17">
        <f t="shared" si="29"/>
        <v>68.18</v>
      </c>
      <c r="O134" s="17">
        <f t="shared" si="29"/>
        <v>0.06</v>
      </c>
      <c r="P134" s="17">
        <f t="shared" si="29"/>
        <v>0.05</v>
      </c>
      <c r="Q134" s="17">
        <f t="shared" si="29"/>
        <v>0.31200000000000006</v>
      </c>
      <c r="R134" s="17">
        <f t="shared" si="29"/>
        <v>0.26</v>
      </c>
      <c r="S134" s="17">
        <f t="shared" si="29"/>
        <v>1.1</v>
      </c>
      <c r="T134" s="17">
        <f t="shared" si="29"/>
        <v>0.99</v>
      </c>
      <c r="U134" s="17">
        <f>SUM(U133)</f>
        <v>235.31</v>
      </c>
      <c r="V134" s="17">
        <f>SUM(V133)</f>
        <v>196.09166666666667</v>
      </c>
      <c r="W134" s="17">
        <f>SUM(W133)</f>
        <v>0.19</v>
      </c>
      <c r="X134" s="17">
        <f>SUM(X133)</f>
        <v>0.15833333333333333</v>
      </c>
      <c r="Y134" s="73">
        <f>SUM(Y133)</f>
        <v>0</v>
      </c>
      <c r="Z134" s="59"/>
      <c r="AA134" s="59"/>
      <c r="AB134" s="59"/>
      <c r="AC134" s="59"/>
      <c r="AD134" s="59"/>
      <c r="AE134" s="54"/>
    </row>
    <row r="135" spans="1:31" ht="15" customHeight="1">
      <c r="A135" s="22"/>
      <c r="B135" s="93" t="s">
        <v>9</v>
      </c>
      <c r="C135" s="44"/>
      <c r="D135" s="44"/>
      <c r="E135" s="28"/>
      <c r="F135" s="28"/>
      <c r="G135" s="28"/>
      <c r="H135" s="29"/>
      <c r="I135" s="29"/>
      <c r="J135" s="29"/>
      <c r="K135" s="29"/>
      <c r="L135" s="29"/>
      <c r="M135" s="29"/>
      <c r="N135" s="29"/>
      <c r="O135" s="42"/>
      <c r="P135" s="42"/>
      <c r="Q135" s="42"/>
      <c r="R135" s="42"/>
      <c r="S135" s="42"/>
      <c r="T135" s="42"/>
      <c r="U135" s="42"/>
      <c r="V135" s="42"/>
      <c r="W135" s="42"/>
      <c r="X135" s="76"/>
      <c r="Y135" s="55"/>
      <c r="Z135" s="54"/>
      <c r="AA135" s="54"/>
      <c r="AB135" s="54"/>
      <c r="AC135" s="54"/>
      <c r="AD135" s="54"/>
      <c r="AE135" s="54"/>
    </row>
    <row r="136" spans="1:29" ht="24" customHeight="1">
      <c r="A136" s="143" t="s">
        <v>134</v>
      </c>
      <c r="B136" s="65" t="s">
        <v>178</v>
      </c>
      <c r="C136" s="66" t="s">
        <v>179</v>
      </c>
      <c r="D136" s="66" t="s">
        <v>180</v>
      </c>
      <c r="E136" s="62">
        <v>2.92</v>
      </c>
      <c r="F136" s="62">
        <v>2.18</v>
      </c>
      <c r="G136" s="62">
        <f>H136*55/41</f>
        <v>1.0463414634146342</v>
      </c>
      <c r="H136" s="63">
        <v>0.78</v>
      </c>
      <c r="I136" s="62">
        <f>J136*55/41</f>
        <v>2.7499999999999996</v>
      </c>
      <c r="J136" s="63">
        <v>2.05</v>
      </c>
      <c r="K136" s="62">
        <f>L136*55/41</f>
        <v>3.541463414634147</v>
      </c>
      <c r="L136" s="63">
        <v>2.64</v>
      </c>
      <c r="M136" s="62">
        <f>N136*55/41</f>
        <v>43.08780487804878</v>
      </c>
      <c r="N136" s="63">
        <v>32.12</v>
      </c>
      <c r="O136" s="63">
        <v>0.01</v>
      </c>
      <c r="P136" s="63">
        <v>0</v>
      </c>
      <c r="Q136" s="63">
        <v>0.02</v>
      </c>
      <c r="R136" s="63">
        <v>0</v>
      </c>
      <c r="S136" s="62">
        <f>T136*55/41</f>
        <v>3.930487804878049</v>
      </c>
      <c r="T136" s="63">
        <v>2.93</v>
      </c>
      <c r="U136" s="63">
        <v>20.44</v>
      </c>
      <c r="V136" s="63">
        <v>0</v>
      </c>
      <c r="W136" s="63">
        <v>0.8</v>
      </c>
      <c r="X136" s="63">
        <v>0</v>
      </c>
      <c r="Y136" s="1"/>
      <c r="Z136" s="1"/>
      <c r="AA136" s="1"/>
      <c r="AB136" s="1"/>
      <c r="AC136" s="1"/>
    </row>
    <row r="137" spans="1:31" ht="20.25" customHeight="1">
      <c r="A137" s="157" t="s">
        <v>89</v>
      </c>
      <c r="B137" s="68" t="s">
        <v>153</v>
      </c>
      <c r="C137" s="66" t="s">
        <v>111</v>
      </c>
      <c r="D137" s="66" t="s">
        <v>112</v>
      </c>
      <c r="E137" s="62">
        <v>6.68</v>
      </c>
      <c r="F137" s="62">
        <v>5.46</v>
      </c>
      <c r="G137" s="67">
        <v>2.04</v>
      </c>
      <c r="H137" s="67">
        <v>1.6</v>
      </c>
      <c r="I137" s="67">
        <v>5.02</v>
      </c>
      <c r="J137" s="67">
        <v>4.14</v>
      </c>
      <c r="K137" s="67">
        <v>13.12</v>
      </c>
      <c r="L137" s="67">
        <v>7.76</v>
      </c>
      <c r="M137" s="67">
        <v>105.82</v>
      </c>
      <c r="N137" s="67">
        <v>74.7</v>
      </c>
      <c r="O137" s="67">
        <v>0.05</v>
      </c>
      <c r="P137" s="67">
        <f>O137*185/235</f>
        <v>0.039361702127659576</v>
      </c>
      <c r="Q137" s="67">
        <v>0.04</v>
      </c>
      <c r="R137" s="67">
        <f>Q137*185/235</f>
        <v>0.03148936170212766</v>
      </c>
      <c r="S137" s="67">
        <v>14.3</v>
      </c>
      <c r="T137" s="67">
        <v>10.8</v>
      </c>
      <c r="U137" s="67">
        <v>32.5</v>
      </c>
      <c r="V137" s="67">
        <f>U137*185/235</f>
        <v>25.585106382978722</v>
      </c>
      <c r="W137" s="67">
        <v>1.59</v>
      </c>
      <c r="X137" s="120">
        <f>W137*185/235</f>
        <v>1.2517021276595746</v>
      </c>
      <c r="Y137" s="55"/>
      <c r="Z137" s="58"/>
      <c r="AA137" s="58"/>
      <c r="AB137" s="58"/>
      <c r="AC137" s="54"/>
      <c r="AD137" s="54"/>
      <c r="AE137" s="54"/>
    </row>
    <row r="138" spans="1:30" ht="17.25" customHeight="1">
      <c r="A138" s="155" t="s">
        <v>145</v>
      </c>
      <c r="B138" s="68" t="s">
        <v>146</v>
      </c>
      <c r="C138" s="66" t="s">
        <v>10</v>
      </c>
      <c r="D138" s="66" t="s">
        <v>10</v>
      </c>
      <c r="E138" s="62">
        <v>16.68</v>
      </c>
      <c r="F138" s="62">
        <v>16.68</v>
      </c>
      <c r="G138" s="62">
        <v>9</v>
      </c>
      <c r="H138" s="63">
        <v>9</v>
      </c>
      <c r="I138" s="62">
        <v>10</v>
      </c>
      <c r="J138" s="62">
        <v>10</v>
      </c>
      <c r="K138" s="63">
        <v>3</v>
      </c>
      <c r="L138" s="63">
        <v>3</v>
      </c>
      <c r="M138" s="63">
        <v>139</v>
      </c>
      <c r="N138" s="63">
        <v>139</v>
      </c>
      <c r="O138" s="63">
        <v>0.07</v>
      </c>
      <c r="P138" s="63">
        <v>0.07</v>
      </c>
      <c r="Q138" s="63">
        <v>0.09</v>
      </c>
      <c r="R138" s="63">
        <v>0.09</v>
      </c>
      <c r="S138" s="63">
        <v>0.34</v>
      </c>
      <c r="T138" s="63">
        <v>0.34</v>
      </c>
      <c r="U138" s="63">
        <v>12.73</v>
      </c>
      <c r="V138" s="63">
        <v>12.73</v>
      </c>
      <c r="W138" s="63">
        <v>0.74</v>
      </c>
      <c r="X138" s="71">
        <v>0.74</v>
      </c>
      <c r="Y138" s="55"/>
      <c r="Z138" s="54"/>
      <c r="AA138" s="54"/>
      <c r="AB138" s="54"/>
      <c r="AC138" s="54"/>
      <c r="AD138" s="54"/>
    </row>
    <row r="139" spans="1:31" ht="15.75" customHeight="1">
      <c r="A139" s="136" t="s">
        <v>28</v>
      </c>
      <c r="B139" s="65" t="s">
        <v>102</v>
      </c>
      <c r="C139" s="66" t="s">
        <v>82</v>
      </c>
      <c r="D139" s="66" t="s">
        <v>106</v>
      </c>
      <c r="E139" s="62">
        <v>3.01</v>
      </c>
      <c r="F139" s="62">
        <v>2.32</v>
      </c>
      <c r="G139" s="63">
        <v>3.9</v>
      </c>
      <c r="H139" s="63">
        <f>G139*100/130</f>
        <v>3</v>
      </c>
      <c r="I139" s="63">
        <v>5.85</v>
      </c>
      <c r="J139" s="63">
        <f>I139*100/130</f>
        <v>4.5</v>
      </c>
      <c r="K139" s="63">
        <v>19.37</v>
      </c>
      <c r="L139" s="63">
        <f>K139*100/130</f>
        <v>14.9</v>
      </c>
      <c r="M139" s="63">
        <v>145.73</v>
      </c>
      <c r="N139" s="63">
        <f>M139*100/130</f>
        <v>112.09999999999998</v>
      </c>
      <c r="O139" s="63">
        <f>P139*130/100</f>
        <v>0.039</v>
      </c>
      <c r="P139" s="63">
        <v>0.03</v>
      </c>
      <c r="Q139" s="63">
        <f>R139*130/100</f>
        <v>0.013000000000000001</v>
      </c>
      <c r="R139" s="63">
        <v>0.01</v>
      </c>
      <c r="S139" s="63">
        <f>T139*130/100</f>
        <v>0</v>
      </c>
      <c r="T139" s="63">
        <v>0</v>
      </c>
      <c r="U139" s="63">
        <f>V139*130/100</f>
        <v>11.973000000000003</v>
      </c>
      <c r="V139" s="63">
        <v>9.21</v>
      </c>
      <c r="W139" s="63">
        <f>X139*130/100</f>
        <v>0.9620000000000001</v>
      </c>
      <c r="X139" s="63">
        <v>0.74</v>
      </c>
      <c r="Y139" s="116"/>
      <c r="Z139" s="117"/>
      <c r="AA139" s="117"/>
      <c r="AB139" s="117"/>
      <c r="AC139" s="54"/>
      <c r="AD139" s="54"/>
      <c r="AE139" s="54"/>
    </row>
    <row r="140" spans="1:31" ht="15.75" customHeight="1">
      <c r="A140" s="135" t="s">
        <v>125</v>
      </c>
      <c r="B140" s="23" t="s">
        <v>127</v>
      </c>
      <c r="C140" s="44" t="s">
        <v>5</v>
      </c>
      <c r="D140" s="44" t="s">
        <v>6</v>
      </c>
      <c r="E140" s="28">
        <v>2.82</v>
      </c>
      <c r="F140" s="28">
        <v>2.11</v>
      </c>
      <c r="G140" s="41">
        <v>1.2</v>
      </c>
      <c r="H140" s="45">
        <v>0.9</v>
      </c>
      <c r="I140" s="41">
        <f>J140*200/150</f>
        <v>0</v>
      </c>
      <c r="J140" s="45">
        <v>0</v>
      </c>
      <c r="K140" s="41">
        <v>31.6</v>
      </c>
      <c r="L140" s="45">
        <v>23.7</v>
      </c>
      <c r="M140" s="41">
        <v>126</v>
      </c>
      <c r="N140" s="45">
        <v>94.5</v>
      </c>
      <c r="O140" s="29">
        <v>0.02</v>
      </c>
      <c r="P140" s="29">
        <f>O140*150/200</f>
        <v>0.015</v>
      </c>
      <c r="Q140" s="29">
        <v>0.01</v>
      </c>
      <c r="R140" s="29">
        <f>Q140*150/200</f>
        <v>0.0075</v>
      </c>
      <c r="S140" s="29">
        <v>0</v>
      </c>
      <c r="T140" s="63">
        <v>0</v>
      </c>
      <c r="U140" s="70">
        <v>25.91</v>
      </c>
      <c r="V140" s="63">
        <f>U140*150/200</f>
        <v>19.4325</v>
      </c>
      <c r="W140" s="70">
        <v>0.65</v>
      </c>
      <c r="X140" s="84">
        <f>W140*150/200</f>
        <v>0.4875</v>
      </c>
      <c r="Y140" s="54"/>
      <c r="Z140" s="54"/>
      <c r="AA140" s="54"/>
      <c r="AB140" s="54"/>
      <c r="AC140" s="54"/>
      <c r="AD140" s="54"/>
      <c r="AE140" s="54"/>
    </row>
    <row r="141" spans="1:31" s="16" customFormat="1" ht="15" customHeight="1">
      <c r="A141" s="135"/>
      <c r="B141" s="23" t="s">
        <v>11</v>
      </c>
      <c r="C141" s="44" t="s">
        <v>14</v>
      </c>
      <c r="D141" s="44" t="s">
        <v>14</v>
      </c>
      <c r="E141" s="28">
        <v>1.11</v>
      </c>
      <c r="F141" s="28">
        <v>1.11</v>
      </c>
      <c r="G141" s="28">
        <v>1.6</v>
      </c>
      <c r="H141" s="28">
        <v>1.6</v>
      </c>
      <c r="I141" s="28">
        <v>0.4</v>
      </c>
      <c r="J141" s="28">
        <v>0.4</v>
      </c>
      <c r="K141" s="28">
        <v>10</v>
      </c>
      <c r="L141" s="28">
        <v>10</v>
      </c>
      <c r="M141" s="29">
        <v>54</v>
      </c>
      <c r="N141" s="29">
        <v>54</v>
      </c>
      <c r="O141" s="43">
        <v>0.04</v>
      </c>
      <c r="P141" s="48">
        <v>0.04</v>
      </c>
      <c r="Q141" s="43">
        <v>0.02</v>
      </c>
      <c r="R141" s="48">
        <v>0.02</v>
      </c>
      <c r="S141" s="43">
        <v>0</v>
      </c>
      <c r="T141" s="48">
        <v>0</v>
      </c>
      <c r="U141" s="43">
        <v>7.4</v>
      </c>
      <c r="V141" s="48">
        <v>7.4</v>
      </c>
      <c r="W141" s="43">
        <v>0.56</v>
      </c>
      <c r="X141" s="48">
        <v>0.56</v>
      </c>
      <c r="Y141" s="57"/>
      <c r="Z141" s="57"/>
      <c r="AA141" s="57"/>
      <c r="AB141" s="57"/>
      <c r="AC141" s="57"/>
      <c r="AD141" s="57"/>
      <c r="AE141" s="57"/>
    </row>
    <row r="142" spans="1:31" ht="15" customHeight="1">
      <c r="A142" s="135"/>
      <c r="B142" s="23" t="s">
        <v>48</v>
      </c>
      <c r="C142" s="44" t="s">
        <v>83</v>
      </c>
      <c r="D142" s="44" t="s">
        <v>84</v>
      </c>
      <c r="E142" s="28">
        <v>2.09</v>
      </c>
      <c r="F142" s="28">
        <v>1.83</v>
      </c>
      <c r="G142" s="28">
        <v>3.25</v>
      </c>
      <c r="H142" s="29">
        <v>2.84</v>
      </c>
      <c r="I142" s="29">
        <v>0.46</v>
      </c>
      <c r="J142" s="29">
        <f>I142*40.6/46</f>
        <v>0.406</v>
      </c>
      <c r="K142" s="29">
        <v>20.88</v>
      </c>
      <c r="L142" s="29">
        <v>18.27</v>
      </c>
      <c r="M142" s="29">
        <v>102.08</v>
      </c>
      <c r="N142" s="29">
        <v>89.32</v>
      </c>
      <c r="O142" s="41">
        <v>0.06</v>
      </c>
      <c r="P142" s="45">
        <v>0.04</v>
      </c>
      <c r="Q142" s="41">
        <v>0.04</v>
      </c>
      <c r="R142" s="45">
        <v>0.03</v>
      </c>
      <c r="S142" s="41">
        <v>0</v>
      </c>
      <c r="T142" s="29">
        <f>S142*40.6/46</f>
        <v>0</v>
      </c>
      <c r="U142" s="43">
        <v>17</v>
      </c>
      <c r="V142" s="48">
        <v>13.6</v>
      </c>
      <c r="W142" s="43">
        <v>1.15</v>
      </c>
      <c r="X142" s="48">
        <v>0.92</v>
      </c>
      <c r="Y142" s="54"/>
      <c r="Z142" s="54"/>
      <c r="AA142" s="54"/>
      <c r="AB142" s="54"/>
      <c r="AC142" s="54"/>
      <c r="AD142" s="54"/>
      <c r="AE142" s="54"/>
    </row>
    <row r="143" spans="1:31" ht="15" customHeight="1">
      <c r="A143" s="22"/>
      <c r="B143" s="23" t="s">
        <v>7</v>
      </c>
      <c r="C143" s="44"/>
      <c r="D143" s="44"/>
      <c r="E143" s="17">
        <f>SUM(E136:E142)</f>
        <v>35.31</v>
      </c>
      <c r="F143" s="17">
        <f>SUM(F136:F142)</f>
        <v>31.689999999999998</v>
      </c>
      <c r="G143" s="17">
        <f>SUM(G136:G142)-2</f>
        <v>20.036341463414637</v>
      </c>
      <c r="H143" s="17">
        <f>SUM(H136:H142)-0</f>
        <v>19.72</v>
      </c>
      <c r="I143" s="17">
        <f aca="true" t="shared" si="30" ref="I143:T143">SUM(I136:I142)</f>
        <v>24.479999999999997</v>
      </c>
      <c r="J143" s="17">
        <f t="shared" si="30"/>
        <v>21.495999999999995</v>
      </c>
      <c r="K143" s="17">
        <f>SUM(K136:K142)+7</f>
        <v>108.51146341463414</v>
      </c>
      <c r="L143" s="17">
        <f>SUM(L136:L142)+0</f>
        <v>80.27</v>
      </c>
      <c r="M143" s="17">
        <f>SUM(M136:M142)-0</f>
        <v>715.7178048780488</v>
      </c>
      <c r="N143" s="17">
        <f>SUM(N136:N142)-65</f>
        <v>530.74</v>
      </c>
      <c r="O143" s="17">
        <f t="shared" si="30"/>
        <v>0.28900000000000003</v>
      </c>
      <c r="P143" s="17">
        <f t="shared" si="30"/>
        <v>0.2343617021276596</v>
      </c>
      <c r="Q143" s="17">
        <f t="shared" si="30"/>
        <v>0.233</v>
      </c>
      <c r="R143" s="17">
        <f t="shared" si="30"/>
        <v>0.18898936170212766</v>
      </c>
      <c r="S143" s="17">
        <f t="shared" si="30"/>
        <v>18.57048780487805</v>
      </c>
      <c r="T143" s="17">
        <f t="shared" si="30"/>
        <v>14.07</v>
      </c>
      <c r="U143" s="17">
        <f>SUM(U136:U142)</f>
        <v>127.953</v>
      </c>
      <c r="V143" s="17">
        <f>SUM(V136:V142)</f>
        <v>87.95760638297872</v>
      </c>
      <c r="W143" s="17">
        <f>SUM(W136:W142)</f>
        <v>6.452</v>
      </c>
      <c r="X143" s="17">
        <f>SUM(X136:X142)</f>
        <v>4.699202127659575</v>
      </c>
      <c r="Y143" s="73">
        <f>SUM(Y136:Y142)</f>
        <v>0</v>
      </c>
      <c r="Z143" s="59"/>
      <c r="AA143" s="59"/>
      <c r="AB143" s="59"/>
      <c r="AC143" s="59"/>
      <c r="AD143" s="54"/>
      <c r="AE143" s="54"/>
    </row>
    <row r="144" spans="1:31" ht="15" customHeight="1">
      <c r="A144" s="22"/>
      <c r="B144" s="93" t="s">
        <v>12</v>
      </c>
      <c r="C144" s="44"/>
      <c r="D144" s="44"/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42"/>
      <c r="P144" s="42"/>
      <c r="Q144" s="42"/>
      <c r="R144" s="42"/>
      <c r="S144" s="42"/>
      <c r="T144" s="42"/>
      <c r="U144" s="42"/>
      <c r="V144" s="42"/>
      <c r="W144" s="42"/>
      <c r="X144" s="76"/>
      <c r="Y144" s="55"/>
      <c r="Z144" s="54"/>
      <c r="AA144" s="54"/>
      <c r="AB144" s="54"/>
      <c r="AC144" s="54"/>
      <c r="AD144" s="54"/>
      <c r="AE144" s="54"/>
    </row>
    <row r="145" spans="1:31" ht="15" customHeight="1">
      <c r="A145" s="135" t="s">
        <v>23</v>
      </c>
      <c r="B145" s="23" t="s">
        <v>20</v>
      </c>
      <c r="C145" s="44" t="s">
        <v>31</v>
      </c>
      <c r="D145" s="44" t="s">
        <v>31</v>
      </c>
      <c r="E145" s="28">
        <v>10.36</v>
      </c>
      <c r="F145" s="28">
        <v>10.36</v>
      </c>
      <c r="G145" s="28">
        <v>5.31</v>
      </c>
      <c r="H145" s="29">
        <v>5.31</v>
      </c>
      <c r="I145" s="28">
        <v>4.5</v>
      </c>
      <c r="J145" s="29">
        <v>4.5</v>
      </c>
      <c r="K145" s="28">
        <v>8.91</v>
      </c>
      <c r="L145" s="29">
        <v>8.91</v>
      </c>
      <c r="M145" s="28">
        <v>97.38</v>
      </c>
      <c r="N145" s="29">
        <v>97.38</v>
      </c>
      <c r="O145" s="28">
        <v>0.07</v>
      </c>
      <c r="P145" s="29">
        <v>0.07</v>
      </c>
      <c r="Q145" s="28">
        <v>0.3</v>
      </c>
      <c r="R145" s="29">
        <v>0.3</v>
      </c>
      <c r="S145" s="28">
        <v>2.46</v>
      </c>
      <c r="T145" s="29">
        <v>2.46</v>
      </c>
      <c r="U145" s="28">
        <v>275.74</v>
      </c>
      <c r="V145" s="29">
        <v>275.74</v>
      </c>
      <c r="W145" s="28">
        <v>0.23</v>
      </c>
      <c r="X145" s="29">
        <v>0.23</v>
      </c>
      <c r="Y145" s="58"/>
      <c r="Z145" s="58"/>
      <c r="AA145" s="58"/>
      <c r="AB145" s="58"/>
      <c r="AC145" s="58"/>
      <c r="AD145" s="58"/>
      <c r="AE145" s="54"/>
    </row>
    <row r="146" spans="1:31" ht="12.75">
      <c r="A146" s="138" t="s">
        <v>103</v>
      </c>
      <c r="B146" s="9" t="s">
        <v>104</v>
      </c>
      <c r="C146" s="44" t="s">
        <v>105</v>
      </c>
      <c r="D146" s="44" t="s">
        <v>105</v>
      </c>
      <c r="E146" s="28">
        <v>0.96</v>
      </c>
      <c r="F146" s="28">
        <v>0.96</v>
      </c>
      <c r="G146" s="28">
        <v>2.24</v>
      </c>
      <c r="H146" s="29">
        <v>2.24</v>
      </c>
      <c r="I146" s="28">
        <v>3.93</v>
      </c>
      <c r="J146" s="29">
        <v>3.93</v>
      </c>
      <c r="K146" s="28">
        <v>18.27</v>
      </c>
      <c r="L146" s="29">
        <v>18.27</v>
      </c>
      <c r="M146" s="28">
        <v>117.63</v>
      </c>
      <c r="N146" s="29">
        <v>117.63</v>
      </c>
      <c r="O146" s="28"/>
      <c r="P146" s="29"/>
      <c r="Q146" s="28"/>
      <c r="R146" s="29"/>
      <c r="S146" s="28">
        <v>0</v>
      </c>
      <c r="T146" s="29">
        <v>0</v>
      </c>
      <c r="U146" s="125"/>
      <c r="V146" s="98"/>
      <c r="W146" s="125"/>
      <c r="X146" s="126"/>
      <c r="Y146" s="58"/>
      <c r="Z146" s="58"/>
      <c r="AA146" s="58"/>
      <c r="AB146" s="58"/>
      <c r="AC146" s="58"/>
      <c r="AD146" s="58"/>
      <c r="AE146" s="54"/>
    </row>
    <row r="147" spans="1:32" ht="15" customHeight="1">
      <c r="A147" s="61"/>
      <c r="B147" s="65" t="s">
        <v>7</v>
      </c>
      <c r="C147" s="119"/>
      <c r="D147" s="119"/>
      <c r="E147" s="127">
        <f>SUM(E145:E146)</f>
        <v>11.32</v>
      </c>
      <c r="F147" s="127">
        <f>SUM(F145:F146)</f>
        <v>11.32</v>
      </c>
      <c r="G147" s="127">
        <f aca="true" t="shared" si="31" ref="G147:T147">SUM(G145:G146)</f>
        <v>7.55</v>
      </c>
      <c r="H147" s="127">
        <f t="shared" si="31"/>
        <v>7.55</v>
      </c>
      <c r="I147" s="127">
        <f t="shared" si="31"/>
        <v>8.43</v>
      </c>
      <c r="J147" s="127">
        <f t="shared" si="31"/>
        <v>8.43</v>
      </c>
      <c r="K147" s="127">
        <f t="shared" si="31"/>
        <v>27.18</v>
      </c>
      <c r="L147" s="127">
        <f t="shared" si="31"/>
        <v>27.18</v>
      </c>
      <c r="M147" s="127">
        <f t="shared" si="31"/>
        <v>215.01</v>
      </c>
      <c r="N147" s="127">
        <f t="shared" si="31"/>
        <v>215.01</v>
      </c>
      <c r="O147" s="127">
        <f t="shared" si="31"/>
        <v>0.07</v>
      </c>
      <c r="P147" s="127">
        <f t="shared" si="31"/>
        <v>0.07</v>
      </c>
      <c r="Q147" s="127">
        <f t="shared" si="31"/>
        <v>0.3</v>
      </c>
      <c r="R147" s="127">
        <f t="shared" si="31"/>
        <v>0.3</v>
      </c>
      <c r="S147" s="127">
        <f t="shared" si="31"/>
        <v>2.46</v>
      </c>
      <c r="T147" s="127">
        <f t="shared" si="31"/>
        <v>2.46</v>
      </c>
      <c r="U147" s="82">
        <f>SUM(U145:U145)</f>
        <v>275.74</v>
      </c>
      <c r="V147" s="82">
        <f>SUM(V145:V145)</f>
        <v>275.74</v>
      </c>
      <c r="W147" s="82">
        <f>SUM(W145:W145)</f>
        <v>0.23</v>
      </c>
      <c r="X147" s="128">
        <f>SUM(X145:X145)</f>
        <v>0.23</v>
      </c>
      <c r="Y147" s="59"/>
      <c r="Z147" s="59"/>
      <c r="AA147" s="59"/>
      <c r="AB147" s="59"/>
      <c r="AC147" s="59"/>
      <c r="AD147" s="54"/>
      <c r="AE147" s="54"/>
      <c r="AF147" s="54"/>
    </row>
    <row r="148" spans="1:31" ht="15" customHeight="1">
      <c r="A148" s="22"/>
      <c r="B148" s="93" t="s">
        <v>13</v>
      </c>
      <c r="C148" s="44"/>
      <c r="D148" s="44"/>
      <c r="E148" s="28"/>
      <c r="F148" s="28"/>
      <c r="G148" s="28"/>
      <c r="H148" s="29"/>
      <c r="I148" s="29"/>
      <c r="J148" s="29"/>
      <c r="K148" s="29"/>
      <c r="L148" s="29"/>
      <c r="M148" s="29"/>
      <c r="N148" s="29"/>
      <c r="O148" s="42"/>
      <c r="P148" s="42"/>
      <c r="Q148" s="42"/>
      <c r="R148" s="42"/>
      <c r="S148" s="42"/>
      <c r="T148" s="42"/>
      <c r="U148" s="42"/>
      <c r="V148" s="42"/>
      <c r="W148" s="42"/>
      <c r="X148" s="76"/>
      <c r="Y148" s="55"/>
      <c r="Z148" s="54"/>
      <c r="AA148" s="54"/>
      <c r="AB148" s="54"/>
      <c r="AC148" s="54"/>
      <c r="AD148" s="54"/>
      <c r="AE148" s="54"/>
    </row>
    <row r="149" spans="1:33" ht="15" customHeight="1">
      <c r="A149" s="136"/>
      <c r="B149" s="65" t="s">
        <v>61</v>
      </c>
      <c r="C149" s="66" t="s">
        <v>154</v>
      </c>
      <c r="D149" s="66" t="s">
        <v>150</v>
      </c>
      <c r="E149" s="62">
        <v>11.54</v>
      </c>
      <c r="F149" s="62">
        <v>10.25</v>
      </c>
      <c r="G149" s="62">
        <v>0.61</v>
      </c>
      <c r="H149" s="63">
        <f>G149*135/152</f>
        <v>0.5417763157894736</v>
      </c>
      <c r="I149" s="62">
        <v>0</v>
      </c>
      <c r="J149" s="63">
        <v>0</v>
      </c>
      <c r="K149" s="62">
        <v>14.89</v>
      </c>
      <c r="L149" s="63">
        <f>K149*135/152</f>
        <v>13.22467105263158</v>
      </c>
      <c r="M149" s="62">
        <v>57.76</v>
      </c>
      <c r="N149" s="63">
        <f>M149*135/152</f>
        <v>51.3</v>
      </c>
      <c r="O149" s="62">
        <v>0.02</v>
      </c>
      <c r="P149" s="63">
        <v>0.02</v>
      </c>
      <c r="Q149" s="62">
        <f>R149*160/150</f>
        <v>0.05333333333333334</v>
      </c>
      <c r="R149" s="63">
        <v>0.05</v>
      </c>
      <c r="S149" s="62">
        <v>24.32</v>
      </c>
      <c r="T149" s="63">
        <f>S149*135/152</f>
        <v>21.599999999999998</v>
      </c>
      <c r="U149" s="62">
        <v>24</v>
      </c>
      <c r="V149" s="63">
        <v>24</v>
      </c>
      <c r="W149" s="62">
        <v>3.3</v>
      </c>
      <c r="X149" s="71">
        <v>3.3</v>
      </c>
      <c r="Y149" s="55"/>
      <c r="Z149" s="58"/>
      <c r="AA149" s="58"/>
      <c r="AB149" s="58"/>
      <c r="AC149" s="54"/>
      <c r="AD149" s="54"/>
      <c r="AE149" s="54"/>
      <c r="AF149" s="54"/>
      <c r="AG149" s="54"/>
    </row>
    <row r="150" spans="1:29" ht="15.75" customHeight="1">
      <c r="A150" s="136" t="s">
        <v>94</v>
      </c>
      <c r="B150" s="68" t="s">
        <v>95</v>
      </c>
      <c r="C150" s="66" t="s">
        <v>31</v>
      </c>
      <c r="D150" s="66" t="s">
        <v>6</v>
      </c>
      <c r="E150" s="79">
        <v>9.93</v>
      </c>
      <c r="F150" s="62">
        <v>8.28</v>
      </c>
      <c r="G150" s="63">
        <f>H150*180/150</f>
        <v>3.6</v>
      </c>
      <c r="H150" s="63">
        <v>3</v>
      </c>
      <c r="I150" s="63">
        <f>J150*180/150</f>
        <v>14.94</v>
      </c>
      <c r="J150" s="63">
        <v>12.45</v>
      </c>
      <c r="K150" s="63">
        <f>L150*180/150</f>
        <v>20.7</v>
      </c>
      <c r="L150" s="63">
        <v>17.25</v>
      </c>
      <c r="M150" s="63">
        <f>N150*180/150</f>
        <v>231.66</v>
      </c>
      <c r="N150" s="63">
        <v>193.05</v>
      </c>
      <c r="O150" s="72">
        <v>0</v>
      </c>
      <c r="P150" s="81">
        <v>0.1</v>
      </c>
      <c r="Q150" s="72">
        <v>0.09</v>
      </c>
      <c r="R150" s="81">
        <v>0.06</v>
      </c>
      <c r="S150" s="63">
        <f>T150*180/150</f>
        <v>9.48</v>
      </c>
      <c r="T150" s="81">
        <v>7.9</v>
      </c>
      <c r="U150" s="63">
        <f>V150*130/100</f>
        <v>11.973000000000003</v>
      </c>
      <c r="V150" s="63">
        <v>9.21</v>
      </c>
      <c r="W150" s="63">
        <f>X150*130/100</f>
        <v>0.9620000000000001</v>
      </c>
      <c r="X150" s="63">
        <v>0.74</v>
      </c>
      <c r="Y150" s="116"/>
      <c r="Z150" s="117"/>
      <c r="AA150" s="117"/>
      <c r="AB150" s="117"/>
      <c r="AC150" s="54"/>
    </row>
    <row r="151" spans="1:31" ht="15" customHeight="1">
      <c r="A151" s="136" t="s">
        <v>92</v>
      </c>
      <c r="B151" s="68" t="s">
        <v>93</v>
      </c>
      <c r="C151" s="66" t="s">
        <v>5</v>
      </c>
      <c r="D151" s="66" t="s">
        <v>6</v>
      </c>
      <c r="E151" s="62">
        <v>0.51</v>
      </c>
      <c r="F151" s="62">
        <v>0.38</v>
      </c>
      <c r="G151" s="62">
        <v>0.18</v>
      </c>
      <c r="H151" s="63">
        <v>0.13</v>
      </c>
      <c r="I151" s="62">
        <f>J151*200/150</f>
        <v>0</v>
      </c>
      <c r="J151" s="63">
        <v>0</v>
      </c>
      <c r="K151" s="62">
        <v>4.78</v>
      </c>
      <c r="L151" s="63">
        <v>3.58</v>
      </c>
      <c r="M151" s="62">
        <v>19.9</v>
      </c>
      <c r="N151" s="63">
        <v>14.92</v>
      </c>
      <c r="O151" s="62">
        <f>P151*200/150</f>
        <v>0.013333333333333334</v>
      </c>
      <c r="P151" s="70">
        <v>0.01</v>
      </c>
      <c r="Q151" s="62">
        <f>R151*200/150</f>
        <v>0.013333333333333334</v>
      </c>
      <c r="R151" s="70">
        <v>0.01</v>
      </c>
      <c r="S151" s="62">
        <v>0.04</v>
      </c>
      <c r="T151" s="70">
        <v>0.03</v>
      </c>
      <c r="U151" s="62">
        <f>V151*200/150</f>
        <v>5.053333333333334</v>
      </c>
      <c r="V151" s="70">
        <v>3.79</v>
      </c>
      <c r="W151" s="62">
        <f>X151*200/150</f>
        <v>0.84</v>
      </c>
      <c r="X151" s="124">
        <v>0.63</v>
      </c>
      <c r="Y151" s="54"/>
      <c r="Z151" s="54"/>
      <c r="AA151" s="54"/>
      <c r="AB151" s="54"/>
      <c r="AC151" s="54"/>
      <c r="AD151" s="54"/>
      <c r="AE151" s="54"/>
    </row>
    <row r="152" spans="1:31" s="16" customFormat="1" ht="15" customHeight="1">
      <c r="A152" s="135"/>
      <c r="B152" s="23" t="s">
        <v>11</v>
      </c>
      <c r="C152" s="44" t="s">
        <v>14</v>
      </c>
      <c r="D152" s="44" t="s">
        <v>14</v>
      </c>
      <c r="E152" s="28">
        <v>1.11</v>
      </c>
      <c r="F152" s="28">
        <v>1.11</v>
      </c>
      <c r="G152" s="28">
        <v>1.6</v>
      </c>
      <c r="H152" s="28">
        <v>1.6</v>
      </c>
      <c r="I152" s="28">
        <v>0.4</v>
      </c>
      <c r="J152" s="28">
        <v>0.4</v>
      </c>
      <c r="K152" s="28">
        <v>10</v>
      </c>
      <c r="L152" s="28">
        <v>10</v>
      </c>
      <c r="M152" s="29">
        <v>54</v>
      </c>
      <c r="N152" s="29">
        <v>54</v>
      </c>
      <c r="O152" s="43">
        <v>0.04</v>
      </c>
      <c r="P152" s="48">
        <v>0.04</v>
      </c>
      <c r="Q152" s="43">
        <v>0.02</v>
      </c>
      <c r="R152" s="48">
        <v>0.02</v>
      </c>
      <c r="S152" s="43">
        <v>0</v>
      </c>
      <c r="T152" s="48">
        <v>0</v>
      </c>
      <c r="U152" s="43">
        <v>7.4</v>
      </c>
      <c r="V152" s="48">
        <v>7.4</v>
      </c>
      <c r="W152" s="43">
        <v>0.56</v>
      </c>
      <c r="X152" s="48">
        <v>0.56</v>
      </c>
      <c r="Y152" s="57"/>
      <c r="Z152" s="57"/>
      <c r="AA152" s="57"/>
      <c r="AB152" s="57"/>
      <c r="AC152" s="57"/>
      <c r="AD152" s="57"/>
      <c r="AE152" s="57"/>
    </row>
    <row r="153" spans="1:31" ht="15" customHeight="1">
      <c r="A153" s="22"/>
      <c r="B153" s="23" t="s">
        <v>7</v>
      </c>
      <c r="C153" s="44"/>
      <c r="D153" s="44"/>
      <c r="E153" s="17">
        <f>SUM(E149:E152)</f>
        <v>23.09</v>
      </c>
      <c r="F153" s="17">
        <f>SUM(F149:F152)</f>
        <v>20.02</v>
      </c>
      <c r="G153" s="17">
        <f aca="true" t="shared" si="32" ref="G153:T153">SUM(G149:G152)</f>
        <v>5.99</v>
      </c>
      <c r="H153" s="17">
        <f t="shared" si="32"/>
        <v>5.271776315789474</v>
      </c>
      <c r="I153" s="17">
        <f t="shared" si="32"/>
        <v>15.34</v>
      </c>
      <c r="J153" s="17">
        <f t="shared" si="32"/>
        <v>12.85</v>
      </c>
      <c r="K153" s="17">
        <f t="shared" si="32"/>
        <v>50.370000000000005</v>
      </c>
      <c r="L153" s="17">
        <f t="shared" si="32"/>
        <v>44.054671052631576</v>
      </c>
      <c r="M153" s="17">
        <f t="shared" si="32"/>
        <v>363.32</v>
      </c>
      <c r="N153" s="17">
        <f t="shared" si="32"/>
        <v>313.27000000000004</v>
      </c>
      <c r="O153" s="17">
        <f t="shared" si="32"/>
        <v>0.07333333333333333</v>
      </c>
      <c r="P153" s="17">
        <f t="shared" si="32"/>
        <v>0.17</v>
      </c>
      <c r="Q153" s="17">
        <f t="shared" si="32"/>
        <v>0.17666666666666667</v>
      </c>
      <c r="R153" s="17">
        <f t="shared" si="32"/>
        <v>0.13999999999999999</v>
      </c>
      <c r="S153" s="17">
        <f t="shared" si="32"/>
        <v>33.839999999999996</v>
      </c>
      <c r="T153" s="17">
        <f t="shared" si="32"/>
        <v>29.53</v>
      </c>
      <c r="U153" s="17">
        <f>SUM(U149:U152)</f>
        <v>48.42633333333333</v>
      </c>
      <c r="V153" s="17">
        <f>SUM(V149:V152)</f>
        <v>44.4</v>
      </c>
      <c r="W153" s="17">
        <f>SUM(W149:W152)</f>
        <v>5.661999999999999</v>
      </c>
      <c r="X153" s="73">
        <f>SUM(X149:X152)</f>
        <v>5.23</v>
      </c>
      <c r="Y153" s="64"/>
      <c r="Z153" s="59"/>
      <c r="AA153" s="59"/>
      <c r="AB153" s="59"/>
      <c r="AC153" s="59"/>
      <c r="AD153" s="54"/>
      <c r="AE153" s="54"/>
    </row>
    <row r="154" spans="1:31" ht="15" customHeight="1">
      <c r="A154" s="22"/>
      <c r="B154" s="23" t="s">
        <v>15</v>
      </c>
      <c r="C154" s="44"/>
      <c r="D154" s="44"/>
      <c r="E154" s="17">
        <f>E153+E147+E143+E134+E131</f>
        <v>104.44999999999999</v>
      </c>
      <c r="F154" s="17">
        <f>F153+F147+F143+F134+F131</f>
        <v>93.65</v>
      </c>
      <c r="G154" s="17">
        <f aca="true" t="shared" si="33" ref="G154:T154">G153+G147+G143+G134+G131</f>
        <v>54.686341463414635</v>
      </c>
      <c r="H154" s="17">
        <f t="shared" si="33"/>
        <v>51.25177631578947</v>
      </c>
      <c r="I154" s="17">
        <f t="shared" si="33"/>
        <v>67.60555555555555</v>
      </c>
      <c r="J154" s="17">
        <f t="shared" si="33"/>
        <v>59.686</v>
      </c>
      <c r="K154" s="17">
        <f t="shared" si="33"/>
        <v>236.40146341463415</v>
      </c>
      <c r="L154" s="17">
        <f t="shared" si="33"/>
        <v>192.69467105263158</v>
      </c>
      <c r="M154" s="17">
        <f t="shared" si="33"/>
        <v>1754.5533604336042</v>
      </c>
      <c r="N154" s="17">
        <f t="shared" si="33"/>
        <v>1450.95</v>
      </c>
      <c r="O154" s="17">
        <f t="shared" si="33"/>
        <v>0.7043333333333334</v>
      </c>
      <c r="P154" s="17">
        <f t="shared" si="33"/>
        <v>0.685195035460993</v>
      </c>
      <c r="Q154" s="17">
        <f t="shared" si="33"/>
        <v>1.4856666666666667</v>
      </c>
      <c r="R154" s="17">
        <f t="shared" si="33"/>
        <v>1.2839893617021276</v>
      </c>
      <c r="S154" s="17">
        <f t="shared" si="33"/>
        <v>58.18048780487805</v>
      </c>
      <c r="T154" s="17">
        <f t="shared" si="33"/>
        <v>48.83500000000001</v>
      </c>
      <c r="U154" s="17">
        <f>U153+U147+U143+U134+U131</f>
        <v>967.0653333333332</v>
      </c>
      <c r="V154" s="17">
        <f>V153+V147+V143+V134+V131</f>
        <v>818.3092730496454</v>
      </c>
      <c r="W154" s="17">
        <f>W153+W147+W143+W134+W131</f>
        <v>15.107999999999999</v>
      </c>
      <c r="X154" s="17">
        <f>X153+X147+X143+X134+X131</f>
        <v>12.472535460992908</v>
      </c>
      <c r="Y154" s="73">
        <f>Y153+Y147+Y143+Y134+Y131</f>
        <v>0</v>
      </c>
      <c r="Z154" s="59"/>
      <c r="AA154" s="59"/>
      <c r="AB154" s="59"/>
      <c r="AC154" s="59"/>
      <c r="AD154" s="54"/>
      <c r="AE154" s="54"/>
    </row>
    <row r="155" spans="1:31" ht="15" customHeight="1">
      <c r="A155" s="27"/>
      <c r="B155" s="9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6"/>
      <c r="Y155" s="55"/>
      <c r="Z155" s="54"/>
      <c r="AA155" s="54"/>
      <c r="AB155" s="54"/>
      <c r="AC155" s="54"/>
      <c r="AD155" s="54"/>
      <c r="AE155" s="54"/>
    </row>
    <row r="156" spans="1:31" ht="15" customHeight="1">
      <c r="A156" s="27"/>
      <c r="B156" s="9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6"/>
      <c r="Y156" s="55"/>
      <c r="Z156" s="54"/>
      <c r="AA156" s="54"/>
      <c r="AB156" s="54"/>
      <c r="AC156" s="54"/>
      <c r="AD156" s="54"/>
      <c r="AE156" s="54"/>
    </row>
    <row r="157" spans="1:31" ht="15" customHeight="1">
      <c r="A157" s="27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6"/>
      <c r="Y157" s="55"/>
      <c r="Z157" s="54"/>
      <c r="AA157" s="54"/>
      <c r="AB157" s="54"/>
      <c r="AC157" s="54"/>
      <c r="AD157" s="54"/>
      <c r="AE157" s="54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5"/>
      <c r="Z158" s="54"/>
      <c r="AA158" s="54"/>
      <c r="AB158" s="54"/>
      <c r="AC158" s="54"/>
      <c r="AD158" s="54"/>
      <c r="AE158" s="54"/>
    </row>
    <row r="159" spans="1:31" ht="15" customHeight="1">
      <c r="A159" s="27"/>
      <c r="B159" s="9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6"/>
      <c r="Y159" s="55"/>
      <c r="Z159" s="54"/>
      <c r="AA159" s="54"/>
      <c r="AB159" s="54"/>
      <c r="AC159" s="54"/>
      <c r="AD159" s="54"/>
      <c r="AE159" s="54"/>
    </row>
    <row r="160" spans="1:31" ht="15" customHeight="1">
      <c r="A160" s="27"/>
      <c r="B160" s="9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6"/>
      <c r="Y160" s="55"/>
      <c r="Z160" s="54"/>
      <c r="AA160" s="54"/>
      <c r="AB160" s="54"/>
      <c r="AC160" s="54"/>
      <c r="AD160" s="54"/>
      <c r="AE160" s="54"/>
    </row>
    <row r="161" spans="1:31" s="16" customFormat="1" ht="24" customHeight="1">
      <c r="A161" s="24"/>
      <c r="B161" s="182"/>
      <c r="C161" s="183"/>
      <c r="D161" s="184"/>
      <c r="E161" s="191" t="s">
        <v>0</v>
      </c>
      <c r="F161" s="192"/>
      <c r="G161" s="175" t="s">
        <v>36</v>
      </c>
      <c r="H161" s="175"/>
      <c r="I161" s="175"/>
      <c r="J161" s="175"/>
      <c r="K161" s="175"/>
      <c r="L161" s="175"/>
      <c r="M161" s="170" t="s">
        <v>37</v>
      </c>
      <c r="N161" s="170"/>
      <c r="O161" s="164" t="s">
        <v>38</v>
      </c>
      <c r="P161" s="164"/>
      <c r="Q161" s="164"/>
      <c r="R161" s="164"/>
      <c r="S161" s="164"/>
      <c r="T161" s="164"/>
      <c r="U161" s="176" t="s">
        <v>39</v>
      </c>
      <c r="V161" s="176"/>
      <c r="W161" s="176"/>
      <c r="X161" s="177"/>
      <c r="Y161" s="56"/>
      <c r="Z161" s="57"/>
      <c r="AA161" s="57"/>
      <c r="AB161" s="57"/>
      <c r="AC161" s="57"/>
      <c r="AD161" s="57"/>
      <c r="AE161" s="57"/>
    </row>
    <row r="162" spans="1:31" s="16" customFormat="1" ht="15" customHeight="1">
      <c r="A162" s="24"/>
      <c r="B162" s="185"/>
      <c r="C162" s="186"/>
      <c r="D162" s="187"/>
      <c r="E162" s="193"/>
      <c r="F162" s="194"/>
      <c r="G162" s="169" t="s">
        <v>1</v>
      </c>
      <c r="H162" s="169"/>
      <c r="I162" s="169" t="s">
        <v>2</v>
      </c>
      <c r="J162" s="169"/>
      <c r="K162" s="169" t="s">
        <v>3</v>
      </c>
      <c r="L162" s="169"/>
      <c r="M162" s="170"/>
      <c r="N162" s="170"/>
      <c r="O162" s="165" t="s">
        <v>72</v>
      </c>
      <c r="P162" s="165"/>
      <c r="Q162" s="165" t="s">
        <v>47</v>
      </c>
      <c r="R162" s="165"/>
      <c r="S162" s="165" t="s">
        <v>40</v>
      </c>
      <c r="T162" s="165"/>
      <c r="U162" s="165" t="s">
        <v>41</v>
      </c>
      <c r="V162" s="165"/>
      <c r="W162" s="165" t="s">
        <v>42</v>
      </c>
      <c r="X162" s="178"/>
      <c r="Y162" s="56"/>
      <c r="Z162" s="57"/>
      <c r="AA162" s="57"/>
      <c r="AB162" s="57"/>
      <c r="AC162" s="57"/>
      <c r="AD162" s="57"/>
      <c r="AE162" s="57"/>
    </row>
    <row r="163" spans="1:31" s="16" customFormat="1" ht="15" customHeight="1">
      <c r="A163" s="24"/>
      <c r="B163" s="188"/>
      <c r="C163" s="189"/>
      <c r="D163" s="190"/>
      <c r="E163" s="95" t="s">
        <v>21</v>
      </c>
      <c r="F163" s="95" t="s">
        <v>22</v>
      </c>
      <c r="G163" s="95" t="s">
        <v>21</v>
      </c>
      <c r="H163" s="95" t="s">
        <v>22</v>
      </c>
      <c r="I163" s="95" t="s">
        <v>21</v>
      </c>
      <c r="J163" s="95" t="s">
        <v>22</v>
      </c>
      <c r="K163" s="95" t="s">
        <v>21</v>
      </c>
      <c r="L163" s="95" t="s">
        <v>22</v>
      </c>
      <c r="M163" s="95" t="s">
        <v>21</v>
      </c>
      <c r="N163" s="95" t="s">
        <v>22</v>
      </c>
      <c r="O163" s="95" t="s">
        <v>21</v>
      </c>
      <c r="P163" s="95" t="s">
        <v>22</v>
      </c>
      <c r="Q163" s="95" t="s">
        <v>21</v>
      </c>
      <c r="R163" s="95" t="s">
        <v>22</v>
      </c>
      <c r="S163" s="95" t="s">
        <v>21</v>
      </c>
      <c r="T163" s="95" t="s">
        <v>22</v>
      </c>
      <c r="U163" s="95" t="s">
        <v>21</v>
      </c>
      <c r="V163" s="95" t="s">
        <v>22</v>
      </c>
      <c r="W163" s="95" t="s">
        <v>21</v>
      </c>
      <c r="X163" s="86" t="s">
        <v>22</v>
      </c>
      <c r="Y163" s="56"/>
      <c r="Z163" s="57"/>
      <c r="AA163" s="57"/>
      <c r="AB163" s="57"/>
      <c r="AC163" s="57"/>
      <c r="AD163" s="57"/>
      <c r="AE163" s="57"/>
    </row>
    <row r="164" spans="1:31" s="90" customFormat="1" ht="15" customHeight="1">
      <c r="A164" s="24"/>
      <c r="B164" s="166" t="s">
        <v>44</v>
      </c>
      <c r="C164" s="167"/>
      <c r="D164" s="168"/>
      <c r="E164" s="29">
        <f>E154+E124+E97+E69+E38</f>
        <v>608.27</v>
      </c>
      <c r="F164" s="29">
        <f>F154+F124+F97+F69+F38</f>
        <v>537.3199999999999</v>
      </c>
      <c r="G164" s="29">
        <f>G154-40+G124+G97+G69+G38</f>
        <v>282.85189701897025</v>
      </c>
      <c r="H164" s="29">
        <f>H154+H124-35+H97+H69-25+H38</f>
        <v>220.20822930724245</v>
      </c>
      <c r="I164" s="29">
        <f>I154-0+I124+I97+I69+I38</f>
        <v>301.39033333333333</v>
      </c>
      <c r="J164" s="29">
        <f>J154-17+J124+J97+J69+J38</f>
        <v>245.77596153846153</v>
      </c>
      <c r="K164" s="96">
        <f aca="true" t="shared" si="34" ref="K164:R164">K154+K124+K97+K69+K38</f>
        <v>1242.92638934056</v>
      </c>
      <c r="L164" s="96">
        <f t="shared" si="34"/>
        <v>1022.3941368645973</v>
      </c>
      <c r="M164" s="96">
        <f t="shared" si="34"/>
        <v>8946.466693766937</v>
      </c>
      <c r="N164" s="96">
        <f t="shared" si="34"/>
        <v>7348.291688034188</v>
      </c>
      <c r="O164" s="29">
        <f t="shared" si="34"/>
        <v>5.241</v>
      </c>
      <c r="P164" s="29">
        <f t="shared" si="34"/>
        <v>4.060013622670885</v>
      </c>
      <c r="Q164" s="29">
        <f t="shared" si="34"/>
        <v>6.975333333333334</v>
      </c>
      <c r="R164" s="29">
        <f t="shared" si="34"/>
        <v>5.89549007113762</v>
      </c>
      <c r="S164" s="29">
        <f>S154-11+S124+S97+S69+S38</f>
        <v>261.96471002710024</v>
      </c>
      <c r="T164" s="29">
        <f>T154-2+T124+T97+T69+T38</f>
        <v>235.47455555555558</v>
      </c>
      <c r="U164" s="96" t="e">
        <f>U154+U124+U97+U69+U38</f>
        <v>#REF!</v>
      </c>
      <c r="V164" s="96" t="e">
        <f>V154+V124+V97+V69+V38</f>
        <v>#REF!</v>
      </c>
      <c r="W164" s="29" t="e">
        <f>W154+W124+W97+W69+W38</f>
        <v>#REF!</v>
      </c>
      <c r="X164" s="75" t="e">
        <f>X154+X124+X97+X69+X38</f>
        <v>#REF!</v>
      </c>
      <c r="Y164" s="97"/>
      <c r="Z164" s="98"/>
      <c r="AA164" s="98"/>
      <c r="AB164" s="98"/>
      <c r="AC164" s="98"/>
      <c r="AD164" s="113"/>
      <c r="AE164" s="113"/>
    </row>
    <row r="165" spans="1:31" s="90" customFormat="1" ht="15" customHeight="1">
      <c r="A165" s="24"/>
      <c r="B165" s="179" t="s">
        <v>45</v>
      </c>
      <c r="C165" s="180"/>
      <c r="D165" s="181"/>
      <c r="E165" s="29">
        <f>E164/5</f>
        <v>121.654</v>
      </c>
      <c r="F165" s="29">
        <f>F164/5</f>
        <v>107.46399999999998</v>
      </c>
      <c r="G165" s="29">
        <f aca="true" t="shared" si="35" ref="G165:O165">G164/5</f>
        <v>56.57037940379405</v>
      </c>
      <c r="H165" s="29">
        <f t="shared" si="35"/>
        <v>44.04164586144849</v>
      </c>
      <c r="I165" s="29">
        <f t="shared" si="35"/>
        <v>60.27806666666667</v>
      </c>
      <c r="J165" s="29">
        <f t="shared" si="35"/>
        <v>49.1551923076923</v>
      </c>
      <c r="K165" s="29">
        <f t="shared" si="35"/>
        <v>248.585277868112</v>
      </c>
      <c r="L165" s="29">
        <f t="shared" si="35"/>
        <v>204.47882737291945</v>
      </c>
      <c r="M165" s="29">
        <f>M164/5</f>
        <v>1789.2933387533874</v>
      </c>
      <c r="N165" s="29">
        <f>N164/5</f>
        <v>1469.6583376068377</v>
      </c>
      <c r="O165" s="88">
        <f t="shared" si="35"/>
        <v>1.0482</v>
      </c>
      <c r="P165" s="88">
        <f aca="true" t="shared" si="36" ref="P165:X165">P164/5</f>
        <v>0.812002724534177</v>
      </c>
      <c r="Q165" s="88">
        <f t="shared" si="36"/>
        <v>1.395066666666667</v>
      </c>
      <c r="R165" s="88">
        <f t="shared" si="36"/>
        <v>1.179098014227524</v>
      </c>
      <c r="S165" s="29">
        <f t="shared" si="36"/>
        <v>52.392942005420046</v>
      </c>
      <c r="T165" s="29">
        <f t="shared" si="36"/>
        <v>47.09491111111112</v>
      </c>
      <c r="U165" s="29" t="e">
        <f>U164/5</f>
        <v>#REF!</v>
      </c>
      <c r="V165" s="29" t="e">
        <f>V164/5</f>
        <v>#REF!</v>
      </c>
      <c r="W165" s="29" t="e">
        <f t="shared" si="36"/>
        <v>#REF!</v>
      </c>
      <c r="X165" s="75" t="e">
        <f t="shared" si="36"/>
        <v>#REF!</v>
      </c>
      <c r="Y165" s="97"/>
      <c r="Z165" s="98"/>
      <c r="AA165" s="98"/>
      <c r="AB165" s="98"/>
      <c r="AC165" s="98"/>
      <c r="AD165" s="113"/>
      <c r="AE165" s="113"/>
    </row>
    <row r="166" spans="1:14" s="16" customFormat="1" ht="15" customHeight="1">
      <c r="A166" s="24"/>
      <c r="B166" s="31"/>
      <c r="C166" s="31"/>
      <c r="D166" s="31"/>
      <c r="E166" s="31"/>
      <c r="F166" s="31"/>
      <c r="G166" s="31"/>
      <c r="H166" s="31"/>
      <c r="I166" s="31"/>
      <c r="J166" s="31"/>
      <c r="K166" s="18"/>
      <c r="L166" s="18"/>
      <c r="M166" s="32"/>
      <c r="N166" s="33"/>
    </row>
    <row r="167" spans="1:14" s="90" customFormat="1" ht="15" customHeight="1">
      <c r="A167" s="24"/>
      <c r="B167" s="31"/>
      <c r="C167" s="31"/>
      <c r="D167" s="31"/>
      <c r="E167" s="31"/>
      <c r="F167" s="31"/>
      <c r="G167" s="31"/>
      <c r="H167" s="31"/>
      <c r="I167" s="31"/>
      <c r="J167" s="99"/>
      <c r="K167" s="18"/>
      <c r="L167" s="18"/>
      <c r="M167" s="100"/>
      <c r="N167" s="99"/>
    </row>
    <row r="168" spans="1:14" s="90" customFormat="1" ht="15" customHeight="1">
      <c r="A168" s="24"/>
      <c r="B168" s="31"/>
      <c r="C168" s="31"/>
      <c r="D168" s="31"/>
      <c r="E168" s="31"/>
      <c r="F168" s="31"/>
      <c r="G168" s="31"/>
      <c r="H168" s="31"/>
      <c r="I168" s="31"/>
      <c r="J168" s="99"/>
      <c r="K168" s="18"/>
      <c r="L168" s="18"/>
      <c r="M168" s="99"/>
      <c r="N168" s="99"/>
    </row>
    <row r="169" spans="1:12" s="16" customFormat="1" ht="15" customHeight="1">
      <c r="A169" s="24"/>
      <c r="B169" s="34" t="s">
        <v>62</v>
      </c>
      <c r="C169" s="103"/>
      <c r="D169" s="103"/>
      <c r="E169" s="103"/>
      <c r="F169" s="103"/>
      <c r="G169" s="34"/>
      <c r="H169" s="34"/>
      <c r="I169" s="34"/>
      <c r="J169" s="34"/>
      <c r="K169" s="34"/>
      <c r="L169" s="34"/>
    </row>
    <row r="170" spans="1:12" s="16" customFormat="1" ht="15" customHeight="1">
      <c r="A170" s="24"/>
      <c r="B170" s="34" t="s">
        <v>46</v>
      </c>
      <c r="C170" s="103"/>
      <c r="D170" s="103"/>
      <c r="E170" s="103"/>
      <c r="F170" s="103"/>
      <c r="G170" s="34"/>
      <c r="H170" s="34"/>
      <c r="I170" s="34"/>
      <c r="J170" s="34"/>
      <c r="K170" s="34"/>
      <c r="L170" s="34"/>
    </row>
    <row r="171" spans="1:12" s="16" customFormat="1" ht="15" customHeight="1">
      <c r="A171" s="24"/>
      <c r="B171" s="34"/>
      <c r="C171" s="103"/>
      <c r="D171" s="103"/>
      <c r="E171" s="103"/>
      <c r="F171" s="103"/>
      <c r="G171" s="34"/>
      <c r="H171" s="34"/>
      <c r="I171" s="34"/>
      <c r="J171" s="34"/>
      <c r="K171" s="34"/>
      <c r="L171" s="34"/>
    </row>
    <row r="172" spans="1:14" s="90" customFormat="1" ht="15" customHeight="1">
      <c r="A172" s="24"/>
      <c r="B172" s="37"/>
      <c r="C172" s="37"/>
      <c r="D172" s="37"/>
      <c r="E172" s="38"/>
      <c r="F172" s="39"/>
      <c r="G172" s="40"/>
      <c r="H172" s="40"/>
      <c r="I172" s="40"/>
      <c r="J172" s="40"/>
      <c r="K172" s="102"/>
      <c r="L172" s="102"/>
      <c r="M172" s="102"/>
      <c r="N172" s="102"/>
    </row>
    <row r="173" spans="1:14" s="16" customFormat="1" ht="15" customHeight="1">
      <c r="A173" s="24"/>
      <c r="B173" s="12" t="s">
        <v>60</v>
      </c>
      <c r="C173" s="104"/>
      <c r="D173" s="106"/>
      <c r="E173" s="106"/>
      <c r="F173" s="106"/>
      <c r="G173" s="14"/>
      <c r="H173" s="13"/>
      <c r="I173" s="13"/>
      <c r="J173" s="13" t="s">
        <v>50</v>
      </c>
      <c r="K173" s="13"/>
      <c r="L173" s="13"/>
      <c r="M173" s="33"/>
      <c r="N173" s="33"/>
    </row>
    <row r="174" spans="1:14" s="16" customFormat="1" ht="15" customHeight="1">
      <c r="A174" s="24"/>
      <c r="B174" s="12"/>
      <c r="C174" s="104"/>
      <c r="D174" s="106"/>
      <c r="E174" s="106"/>
      <c r="F174" s="106"/>
      <c r="G174" s="14"/>
      <c r="H174" s="13"/>
      <c r="I174" s="13"/>
      <c r="J174" s="13"/>
      <c r="K174" s="13"/>
      <c r="L174" s="13"/>
      <c r="M174" s="33"/>
      <c r="N174" s="33"/>
    </row>
    <row r="175" spans="1:29" s="16" customFormat="1" ht="15" customHeight="1">
      <c r="A175" s="24"/>
      <c r="B175" s="15" t="s">
        <v>58</v>
      </c>
      <c r="C175" s="105"/>
      <c r="D175" s="105"/>
      <c r="E175" s="105"/>
      <c r="F175" s="105"/>
      <c r="G175" s="15"/>
      <c r="H175" s="15"/>
      <c r="I175" s="15"/>
      <c r="J175" s="13" t="s">
        <v>59</v>
      </c>
      <c r="K175" s="13"/>
      <c r="L175" s="13"/>
      <c r="M175" s="33"/>
      <c r="N175" s="33"/>
      <c r="Y175" s="57"/>
      <c r="Z175" s="57"/>
      <c r="AA175" s="57"/>
      <c r="AB175" s="57"/>
      <c r="AC175" s="57"/>
    </row>
    <row r="176" spans="1:14" s="16" customFormat="1" ht="15" customHeight="1">
      <c r="A176" s="24"/>
      <c r="B176" s="15"/>
      <c r="C176" s="105"/>
      <c r="D176" s="105"/>
      <c r="E176" s="105"/>
      <c r="F176" s="105"/>
      <c r="G176" s="15"/>
      <c r="H176" s="15"/>
      <c r="I176" s="15"/>
      <c r="J176" s="13"/>
      <c r="K176" s="13"/>
      <c r="L176" s="13"/>
      <c r="M176" s="33"/>
      <c r="N176" s="33"/>
    </row>
    <row r="177" spans="1:14" s="16" customFormat="1" ht="15" customHeight="1">
      <c r="A177" s="24"/>
      <c r="B177" s="114" t="s">
        <v>90</v>
      </c>
      <c r="C177" s="12"/>
      <c r="D177" s="12"/>
      <c r="E177" s="13"/>
      <c r="F177" s="13"/>
      <c r="G177" s="12"/>
      <c r="H177" s="12"/>
      <c r="I177" s="12"/>
      <c r="J177" s="114" t="s">
        <v>133</v>
      </c>
      <c r="K177" s="12"/>
      <c r="L177" s="13"/>
      <c r="M177" s="101"/>
      <c r="N177" s="101"/>
    </row>
    <row r="178" spans="1:14" s="16" customFormat="1" ht="15" customHeight="1">
      <c r="A178" s="24"/>
      <c r="B178" s="12"/>
      <c r="C178" s="104"/>
      <c r="D178" s="104"/>
      <c r="E178" s="104"/>
      <c r="F178" s="104"/>
      <c r="G178" s="13"/>
      <c r="H178" s="13"/>
      <c r="I178" s="13"/>
      <c r="J178" s="13"/>
      <c r="K178" s="13"/>
      <c r="L178" s="13"/>
      <c r="M178" s="101"/>
      <c r="N178" s="101"/>
    </row>
    <row r="179" spans="1:14" s="16" customFormat="1" ht="15" customHeight="1">
      <c r="A179" s="24"/>
      <c r="B179" s="15" t="s">
        <v>86</v>
      </c>
      <c r="C179" s="105"/>
      <c r="D179" s="105"/>
      <c r="E179" s="105"/>
      <c r="F179" s="105"/>
      <c r="G179" s="15"/>
      <c r="H179" s="15"/>
      <c r="I179" s="15"/>
      <c r="J179" s="13" t="s">
        <v>57</v>
      </c>
      <c r="K179" s="13"/>
      <c r="L179" s="13"/>
      <c r="M179" s="101"/>
      <c r="N179" s="101"/>
    </row>
    <row r="180" spans="1:14" s="16" customFormat="1" ht="14.25">
      <c r="A180" s="24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s="16" customFormat="1" ht="14.25">
      <c r="A181" s="24"/>
      <c r="B181" s="35"/>
      <c r="C181" s="35"/>
      <c r="D181" s="35"/>
      <c r="E181" s="36"/>
      <c r="F181" s="36"/>
      <c r="G181" s="35"/>
      <c r="H181" s="35"/>
      <c r="I181" s="35"/>
      <c r="J181" s="35"/>
      <c r="K181" s="35"/>
      <c r="L181" s="35"/>
      <c r="M181" s="101"/>
      <c r="N181" s="101"/>
    </row>
    <row r="182" spans="1:14" s="16" customFormat="1" ht="14.25">
      <c r="A182" s="24"/>
      <c r="B182" s="35"/>
      <c r="C182" s="35"/>
      <c r="D182" s="35"/>
      <c r="E182" s="36"/>
      <c r="F182" s="36"/>
      <c r="G182" s="35"/>
      <c r="H182" s="35"/>
      <c r="I182" s="35"/>
      <c r="J182" s="35"/>
      <c r="K182" s="35"/>
      <c r="L182" s="35"/>
      <c r="M182" s="101"/>
      <c r="N182" s="101"/>
    </row>
    <row r="183" spans="1:14" s="16" customFormat="1" ht="14.25">
      <c r="A183" s="24"/>
      <c r="B183" s="35"/>
      <c r="C183" s="35"/>
      <c r="D183" s="35"/>
      <c r="E183" s="36"/>
      <c r="F183" s="36"/>
      <c r="G183" s="35"/>
      <c r="H183" s="35"/>
      <c r="I183" s="35"/>
      <c r="J183" s="35"/>
      <c r="K183" s="35"/>
      <c r="L183" s="35"/>
      <c r="M183" s="101"/>
      <c r="N183" s="101"/>
    </row>
    <row r="184" spans="1:14" s="16" customFormat="1" ht="14.25">
      <c r="A184" s="24"/>
      <c r="B184" s="35"/>
      <c r="C184" s="35"/>
      <c r="D184" s="35"/>
      <c r="E184" s="36"/>
      <c r="F184" s="36"/>
      <c r="G184" s="35"/>
      <c r="H184" s="35"/>
      <c r="I184" s="35"/>
      <c r="J184" s="35"/>
      <c r="K184" s="35"/>
      <c r="L184" s="35"/>
      <c r="M184" s="101"/>
      <c r="N184" s="101"/>
    </row>
    <row r="185" spans="1:14" s="16" customFormat="1" ht="12.75">
      <c r="A185" s="24"/>
      <c r="B185" s="18"/>
      <c r="C185" s="18"/>
      <c r="D185" s="18"/>
      <c r="E185" s="19"/>
      <c r="F185" s="19"/>
      <c r="G185" s="18"/>
      <c r="H185" s="18"/>
      <c r="I185" s="18"/>
      <c r="J185" s="18"/>
      <c r="K185" s="18"/>
      <c r="L185" s="18"/>
      <c r="M185" s="18"/>
      <c r="N185" s="18"/>
    </row>
    <row r="186" spans="1:14" s="16" customFormat="1" ht="12.75">
      <c r="A186" s="24"/>
      <c r="B186" s="18"/>
      <c r="C186" s="18"/>
      <c r="D186" s="18"/>
      <c r="E186" s="19"/>
      <c r="F186" s="19"/>
      <c r="G186" s="18"/>
      <c r="H186" s="18"/>
      <c r="I186" s="18"/>
      <c r="J186" s="18"/>
      <c r="K186" s="18"/>
      <c r="L186" s="18"/>
      <c r="M186" s="18"/>
      <c r="N186" s="18"/>
    </row>
    <row r="187" spans="1:14" s="16" customFormat="1" ht="12.75">
      <c r="A187" s="24"/>
      <c r="B187" s="18"/>
      <c r="C187" s="18"/>
      <c r="D187" s="18"/>
      <c r="E187" s="19"/>
      <c r="F187" s="19"/>
      <c r="G187" s="18"/>
      <c r="H187" s="18"/>
      <c r="I187" s="18"/>
      <c r="J187" s="18"/>
      <c r="K187" s="18"/>
      <c r="L187" s="18"/>
      <c r="M187" s="18"/>
      <c r="N187" s="18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  <row r="208" spans="1:14" s="16" customFormat="1" ht="12.75">
      <c r="A208" s="24"/>
      <c r="B208" s="18"/>
      <c r="C208" s="18"/>
      <c r="D208" s="18"/>
      <c r="E208" s="19"/>
      <c r="F208" s="19"/>
      <c r="G208" s="18"/>
      <c r="H208" s="18"/>
      <c r="I208" s="18"/>
      <c r="J208" s="18"/>
      <c r="K208" s="18"/>
      <c r="L208" s="18"/>
      <c r="M208" s="18"/>
      <c r="N208" s="18"/>
    </row>
    <row r="209" spans="1:14" s="16" customFormat="1" ht="12.75">
      <c r="A209" s="24"/>
      <c r="B209" s="18"/>
      <c r="C209" s="18"/>
      <c r="D209" s="18"/>
      <c r="E209" s="19"/>
      <c r="F209" s="19"/>
      <c r="G209" s="18"/>
      <c r="H209" s="18"/>
      <c r="I209" s="18"/>
      <c r="J209" s="18"/>
      <c r="K209" s="18"/>
      <c r="L209" s="18"/>
      <c r="M209" s="18"/>
      <c r="N209" s="18"/>
    </row>
  </sheetData>
  <sheetProtection/>
  <mergeCells count="34">
    <mergeCell ref="B165:D165"/>
    <mergeCell ref="B161:D163"/>
    <mergeCell ref="E161:F162"/>
    <mergeCell ref="I162:J162"/>
    <mergeCell ref="G161:L161"/>
    <mergeCell ref="G162:H162"/>
    <mergeCell ref="U161:X161"/>
    <mergeCell ref="U162:V162"/>
    <mergeCell ref="W162:X162"/>
    <mergeCell ref="W11:X11"/>
    <mergeCell ref="U11:V11"/>
    <mergeCell ref="O162:P162"/>
    <mergeCell ref="O161:T161"/>
    <mergeCell ref="O11:P11"/>
    <mergeCell ref="A8:X8"/>
    <mergeCell ref="A10:A11"/>
    <mergeCell ref="B10:B11"/>
    <mergeCell ref="C10:D11"/>
    <mergeCell ref="E10:F11"/>
    <mergeCell ref="G10:L10"/>
    <mergeCell ref="M10:N11"/>
    <mergeCell ref="S11:T11"/>
    <mergeCell ref="G11:H11"/>
    <mergeCell ref="U10:X10"/>
    <mergeCell ref="M4:N4"/>
    <mergeCell ref="O10:T10"/>
    <mergeCell ref="Q11:R11"/>
    <mergeCell ref="B164:D164"/>
    <mergeCell ref="K162:L162"/>
    <mergeCell ref="M161:N162"/>
    <mergeCell ref="S162:T162"/>
    <mergeCell ref="Q162:R162"/>
    <mergeCell ref="I11:J11"/>
    <mergeCell ref="K11:L11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2018-03-02T13:21:04Z</cp:lastPrinted>
  <dcterms:created xsi:type="dcterms:W3CDTF">2010-07-29T06:39:54Z</dcterms:created>
  <dcterms:modified xsi:type="dcterms:W3CDTF">2018-03-13T13:57:58Z</dcterms:modified>
  <cp:category/>
  <cp:version/>
  <cp:contentType/>
  <cp:contentStatus/>
</cp:coreProperties>
</file>